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95" activeTab="1"/>
  </bookViews>
  <sheets>
    <sheet name="COVER" sheetId="10" r:id="rId1"/>
    <sheet name="P&amp;L" sheetId="1" r:id="rId2"/>
  </sheets>
  <definedNames>
    <definedName name="_xlnm.Print_Area" localSheetId="1">'P&amp;L'!$B$1:$M$224</definedName>
    <definedName name="_xlnm.Print_Titles" localSheetId="1">'P&amp;L'!$9:$11</definedName>
  </definedNames>
  <calcPr calcId="125725"/>
</workbook>
</file>

<file path=xl/calcChain.xml><?xml version="1.0" encoding="utf-8"?>
<calcChain xmlns="http://schemas.openxmlformats.org/spreadsheetml/2006/main">
  <c r="K208" i="1"/>
  <c r="K189"/>
  <c r="K176"/>
  <c r="K175"/>
  <c r="K151"/>
  <c r="K150"/>
  <c r="K147"/>
  <c r="K146"/>
  <c r="K139"/>
  <c r="K133"/>
  <c r="K132"/>
  <c r="K128"/>
  <c r="K124"/>
  <c r="K119"/>
  <c r="K118"/>
  <c r="K115"/>
  <c r="K114"/>
  <c r="K98"/>
  <c r="K97" l="1"/>
  <c r="K88"/>
  <c r="M57" l="1"/>
  <c r="M55"/>
  <c r="M54"/>
  <c r="M53"/>
  <c r="M52"/>
  <c r="M51"/>
  <c r="L50"/>
  <c r="L49"/>
  <c r="K50"/>
  <c r="K49"/>
  <c r="I58"/>
  <c r="I50"/>
  <c r="I49"/>
  <c r="I57"/>
  <c r="I55"/>
  <c r="I54"/>
  <c r="I53"/>
  <c r="I52"/>
  <c r="I51"/>
  <c r="I44"/>
  <c r="I46"/>
  <c r="I18"/>
  <c r="I42"/>
  <c r="I41"/>
  <c r="I39"/>
  <c r="I38"/>
  <c r="I37"/>
  <c r="I36"/>
  <c r="I35"/>
  <c r="I34"/>
  <c r="I33"/>
  <c r="I32"/>
  <c r="I31"/>
  <c r="I30"/>
  <c r="I29"/>
  <c r="I28"/>
  <c r="I27"/>
  <c r="I26"/>
  <c r="I24"/>
  <c r="I23"/>
  <c r="I22"/>
  <c r="I17"/>
  <c r="I16"/>
  <c r="I15"/>
  <c r="I14"/>
  <c r="L91"/>
  <c r="A218" l="1"/>
  <c r="A194"/>
  <c r="A182"/>
  <c r="A165"/>
  <c r="A78"/>
  <c r="A70"/>
  <c r="A69"/>
  <c r="T28"/>
  <c r="S28"/>
  <c r="R28"/>
  <c r="K134"/>
  <c r="L179"/>
  <c r="L183"/>
  <c r="L181"/>
  <c r="K181"/>
  <c r="K179"/>
  <c r="K170"/>
  <c r="K159"/>
  <c r="K161"/>
  <c r="K178"/>
  <c r="L106" l="1"/>
  <c r="L105"/>
  <c r="L120" l="1"/>
  <c r="L119"/>
  <c r="L118"/>
  <c r="L115"/>
  <c r="L114"/>
  <c r="L98"/>
  <c r="L97"/>
  <c r="L92"/>
  <c r="L88"/>
  <c r="K73"/>
  <c r="I216" l="1"/>
  <c r="L51"/>
  <c r="L52"/>
  <c r="K52"/>
  <c r="K51"/>
  <c r="I178"/>
  <c r="I186" s="1"/>
  <c r="I199" s="1"/>
  <c r="I218" s="1"/>
  <c r="I224" s="1"/>
  <c r="I214"/>
  <c r="I212"/>
  <c r="I205"/>
  <c r="I197"/>
  <c r="I191"/>
  <c r="I173"/>
  <c r="I167"/>
  <c r="I163"/>
  <c r="M153"/>
  <c r="I148"/>
  <c r="I144"/>
  <c r="I140"/>
  <c r="I136"/>
  <c r="I130"/>
  <c r="I125"/>
  <c r="L121"/>
  <c r="I121"/>
  <c r="M119"/>
  <c r="M118"/>
  <c r="I116"/>
  <c r="I108"/>
  <c r="I103"/>
  <c r="I95"/>
  <c r="I80"/>
  <c r="I75"/>
  <c r="I71"/>
  <c r="L71"/>
  <c r="I67"/>
  <c r="I82" l="1"/>
  <c r="I110"/>
  <c r="K140" l="1"/>
  <c r="K125"/>
  <c r="K116"/>
  <c r="L140"/>
  <c r="K191"/>
  <c r="U25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T29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S29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R29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K106"/>
  <c r="K105"/>
  <c r="L163"/>
  <c r="M74"/>
  <c r="K222"/>
  <c r="L212"/>
  <c r="L205"/>
  <c r="L197"/>
  <c r="L191"/>
  <c r="L186"/>
  <c r="L173"/>
  <c r="L167"/>
  <c r="L148"/>
  <c r="L144"/>
  <c r="L136"/>
  <c r="L130"/>
  <c r="L125"/>
  <c r="L116"/>
  <c r="L108"/>
  <c r="L103"/>
  <c r="L75"/>
  <c r="L67"/>
  <c r="K195"/>
  <c r="K194"/>
  <c r="K184"/>
  <c r="K183"/>
  <c r="K180"/>
  <c r="K169"/>
  <c r="K171"/>
  <c r="K156"/>
  <c r="K155"/>
  <c r="K152"/>
  <c r="K143"/>
  <c r="K135"/>
  <c r="K120"/>
  <c r="K121" s="1"/>
  <c r="K205"/>
  <c r="M128"/>
  <c r="M127"/>
  <c r="K94"/>
  <c r="K93"/>
  <c r="K92"/>
  <c r="K91"/>
  <c r="M73"/>
  <c r="K66"/>
  <c r="K65"/>
  <c r="L222"/>
  <c r="A219"/>
  <c r="A220" s="1"/>
  <c r="A221" s="1"/>
  <c r="A222" s="1"/>
  <c r="A223" s="1"/>
  <c r="A224" s="1"/>
  <c r="A225" s="1"/>
  <c r="A226" s="1"/>
  <c r="A227" s="1"/>
  <c r="A228" s="1"/>
  <c r="A61"/>
  <c r="A62" s="1"/>
  <c r="A63" s="1"/>
  <c r="A64" s="1"/>
  <c r="A65" s="1"/>
  <c r="A66" s="1"/>
  <c r="A67" s="1"/>
  <c r="A68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3" s="1"/>
  <c r="A184" s="1"/>
  <c r="A185" s="1"/>
  <c r="A186" s="1"/>
  <c r="A187" s="1"/>
  <c r="A188" s="1"/>
  <c r="A189" s="1"/>
  <c r="A190" s="1"/>
  <c r="A191" s="1"/>
  <c r="A192" s="1"/>
  <c r="A193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K148" l="1"/>
  <c r="L95"/>
  <c r="L110" s="1"/>
  <c r="M75"/>
  <c r="K67"/>
  <c r="K80"/>
  <c r="K163"/>
  <c r="K197"/>
  <c r="K75"/>
  <c r="K103"/>
  <c r="K136"/>
  <c r="K167"/>
  <c r="K212"/>
  <c r="K214" s="1"/>
  <c r="K130"/>
  <c r="K144"/>
  <c r="K173"/>
  <c r="M222"/>
  <c r="K95"/>
  <c r="K108"/>
  <c r="K71"/>
  <c r="L214"/>
  <c r="M69"/>
  <c r="K110" l="1"/>
  <c r="K82"/>
  <c r="L80" l="1"/>
  <c r="L15" l="1"/>
  <c r="M78" l="1"/>
  <c r="M79" l="1"/>
  <c r="M211" l="1"/>
  <c r="M210"/>
  <c r="M209"/>
  <c r="M208"/>
  <c r="M207"/>
  <c r="M185"/>
  <c r="M184"/>
  <c r="M107"/>
  <c r="M106"/>
  <c r="M105"/>
  <c r="M133"/>
  <c r="M132"/>
  <c r="M134"/>
  <c r="L57"/>
  <c r="L24"/>
  <c r="K24"/>
  <c r="M212" l="1"/>
  <c r="M108"/>
  <c r="M24" s="1"/>
  <c r="L55"/>
  <c r="L54" l="1"/>
  <c r="M120" l="1"/>
  <c r="M121" s="1"/>
  <c r="M70" l="1"/>
  <c r="M71" s="1"/>
  <c r="L53"/>
  <c r="K55"/>
  <c r="K57"/>
  <c r="K54" l="1"/>
  <c r="K53"/>
  <c r="K186"/>
  <c r="M177" l="1"/>
  <c r="M77"/>
  <c r="M80" s="1"/>
  <c r="M16"/>
  <c r="M100"/>
  <c r="M99"/>
  <c r="M94"/>
  <c r="M89"/>
  <c r="L41"/>
  <c r="L36"/>
  <c r="L35"/>
  <c r="L34"/>
  <c r="L33"/>
  <c r="L32"/>
  <c r="L31"/>
  <c r="L30"/>
  <c r="L29"/>
  <c r="L28"/>
  <c r="L27"/>
  <c r="L26"/>
  <c r="L23"/>
  <c r="L22"/>
  <c r="L17"/>
  <c r="K17"/>
  <c r="L16"/>
  <c r="K16"/>
  <c r="L14"/>
  <c r="L37"/>
  <c r="M204"/>
  <c r="M196"/>
  <c r="M195"/>
  <c r="M190"/>
  <c r="M183"/>
  <c r="M181"/>
  <c r="M180"/>
  <c r="M178"/>
  <c r="M176"/>
  <c r="M172"/>
  <c r="M171"/>
  <c r="M170"/>
  <c r="M166"/>
  <c r="M162"/>
  <c r="M161"/>
  <c r="M160"/>
  <c r="M159"/>
  <c r="M158"/>
  <c r="M157"/>
  <c r="M156"/>
  <c r="M155"/>
  <c r="M152"/>
  <c r="M151"/>
  <c r="M147"/>
  <c r="M143"/>
  <c r="M139"/>
  <c r="M123"/>
  <c r="M115"/>
  <c r="M102"/>
  <c r="M98"/>
  <c r="M92"/>
  <c r="M66"/>
  <c r="L18" l="1"/>
  <c r="L82"/>
  <c r="K42"/>
  <c r="M17"/>
  <c r="K14"/>
  <c r="M65"/>
  <c r="M15"/>
  <c r="K15"/>
  <c r="M114"/>
  <c r="K26"/>
  <c r="K28"/>
  <c r="M124"/>
  <c r="M135"/>
  <c r="M136" s="1"/>
  <c r="K30"/>
  <c r="M165"/>
  <c r="K35"/>
  <c r="M169"/>
  <c r="K36"/>
  <c r="M175"/>
  <c r="K37"/>
  <c r="M182"/>
  <c r="M91"/>
  <c r="M93"/>
  <c r="K29"/>
  <c r="M129"/>
  <c r="K31"/>
  <c r="M138"/>
  <c r="M142"/>
  <c r="K32"/>
  <c r="M146"/>
  <c r="K33"/>
  <c r="K34"/>
  <c r="M150"/>
  <c r="M179"/>
  <c r="K39"/>
  <c r="M203"/>
  <c r="M88"/>
  <c r="M186" l="1"/>
  <c r="M205"/>
  <c r="M214" s="1"/>
  <c r="M144"/>
  <c r="M32" s="1"/>
  <c r="M173"/>
  <c r="M36" s="1"/>
  <c r="M167"/>
  <c r="M35" s="1"/>
  <c r="M163"/>
  <c r="M34" s="1"/>
  <c r="M148"/>
  <c r="M33" s="1"/>
  <c r="M140"/>
  <c r="M31" s="1"/>
  <c r="M125"/>
  <c r="M28" s="1"/>
  <c r="M116"/>
  <c r="M26" s="1"/>
  <c r="M67"/>
  <c r="M14" s="1"/>
  <c r="M18" s="1"/>
  <c r="M130"/>
  <c r="M29" s="1"/>
  <c r="M30"/>
  <c r="K41"/>
  <c r="M27"/>
  <c r="M90"/>
  <c r="K18"/>
  <c r="M97"/>
  <c r="M49" s="1"/>
  <c r="M101"/>
  <c r="M87"/>
  <c r="M95" s="1"/>
  <c r="K22"/>
  <c r="M41" l="1"/>
  <c r="M103"/>
  <c r="M110" s="1"/>
  <c r="M82"/>
  <c r="M42"/>
  <c r="L42"/>
  <c r="M22"/>
  <c r="K23"/>
  <c r="M37"/>
  <c r="K27"/>
  <c r="M23" l="1"/>
  <c r="M194" l="1"/>
  <c r="L39"/>
  <c r="M197" l="1"/>
  <c r="M39" l="1"/>
  <c r="M189"/>
  <c r="M50" s="1"/>
  <c r="L199"/>
  <c r="L216" s="1"/>
  <c r="L218" s="1"/>
  <c r="K58"/>
  <c r="M188" l="1"/>
  <c r="M191" s="1"/>
  <c r="K199"/>
  <c r="K216" s="1"/>
  <c r="K218" s="1"/>
  <c r="K224" s="1"/>
  <c r="L58"/>
  <c r="L224"/>
  <c r="L38"/>
  <c r="L44" s="1"/>
  <c r="L46" s="1"/>
  <c r="M224" l="1"/>
  <c r="M218"/>
  <c r="M199"/>
  <c r="M216" s="1"/>
  <c r="M58"/>
  <c r="K38"/>
  <c r="K44" s="1"/>
  <c r="M38"/>
  <c r="M44" s="1"/>
  <c r="K46" l="1"/>
  <c r="M46" s="1"/>
</calcChain>
</file>

<file path=xl/sharedStrings.xml><?xml version="1.0" encoding="utf-8"?>
<sst xmlns="http://schemas.openxmlformats.org/spreadsheetml/2006/main" count="213" uniqueCount="130">
  <si>
    <t>Fiscal Year</t>
  </si>
  <si>
    <t>Enrollment</t>
  </si>
  <si>
    <t>Budgeted Enrollment</t>
  </si>
  <si>
    <t>Organization</t>
  </si>
  <si>
    <t>Summary by Function</t>
  </si>
  <si>
    <t>Revenues</t>
  </si>
  <si>
    <t>School District Subsidy</t>
  </si>
  <si>
    <t>Other Local</t>
  </si>
  <si>
    <t>State</t>
  </si>
  <si>
    <t>Federal</t>
  </si>
  <si>
    <t>Total Revenue</t>
  </si>
  <si>
    <t>Expenditures</t>
  </si>
  <si>
    <t>Instruction</t>
  </si>
  <si>
    <t>Regular Education</t>
  </si>
  <si>
    <t>Special Programs</t>
  </si>
  <si>
    <t>Support Services</t>
  </si>
  <si>
    <t>Guidance</t>
  </si>
  <si>
    <t>Psychological Services</t>
  </si>
  <si>
    <t>Social Worker</t>
  </si>
  <si>
    <t>Library</t>
  </si>
  <si>
    <t>Professional Development</t>
  </si>
  <si>
    <t>Other Support Services</t>
  </si>
  <si>
    <t>Legal Services</t>
  </si>
  <si>
    <t>Administrative</t>
  </si>
  <si>
    <t>Pupil Health</t>
  </si>
  <si>
    <t>Business</t>
  </si>
  <si>
    <t>Building Services</t>
  </si>
  <si>
    <t>Security</t>
  </si>
  <si>
    <t>Technology</t>
  </si>
  <si>
    <t>Noninstructional Services</t>
  </si>
  <si>
    <t>Student Activities</t>
  </si>
  <si>
    <t>Parent Involvement</t>
  </si>
  <si>
    <t>Debt Service</t>
  </si>
  <si>
    <t>Total Expenditures</t>
  </si>
  <si>
    <t>Revenues Over (Under) Expenditures</t>
  </si>
  <si>
    <t>Summary by Major Class</t>
  </si>
  <si>
    <t>Salaries</t>
  </si>
  <si>
    <t>Benefits</t>
  </si>
  <si>
    <t>Professional Services</t>
  </si>
  <si>
    <t>Other Purchased Services</t>
  </si>
  <si>
    <t>Supplies and Books</t>
  </si>
  <si>
    <t>Equipment</t>
  </si>
  <si>
    <t>Other</t>
  </si>
  <si>
    <t>Special Education</t>
  </si>
  <si>
    <t>IDEA</t>
  </si>
  <si>
    <t>Miscellaneous</t>
  </si>
  <si>
    <t>Commonwealth</t>
  </si>
  <si>
    <t>Health Services</t>
  </si>
  <si>
    <t>Federal Entitlements</t>
  </si>
  <si>
    <t>ERATE</t>
  </si>
  <si>
    <t>Total Revenues</t>
  </si>
  <si>
    <t>Employee Benefits</t>
  </si>
  <si>
    <t>Contracted Services</t>
  </si>
  <si>
    <t>Supplies</t>
  </si>
  <si>
    <t>Books and Software</t>
  </si>
  <si>
    <t>Furniture &amp; Equipment</t>
  </si>
  <si>
    <t>APS</t>
  </si>
  <si>
    <t>ESY</t>
  </si>
  <si>
    <t>Total Instruction</t>
  </si>
  <si>
    <t>Counseling</t>
  </si>
  <si>
    <t>Travel &amp; Conferences</t>
  </si>
  <si>
    <t>Other Support</t>
  </si>
  <si>
    <t>Legal and Audit Services</t>
  </si>
  <si>
    <t>Audit Services</t>
  </si>
  <si>
    <t>Office of CEO</t>
  </si>
  <si>
    <t>Management Agreement</t>
  </si>
  <si>
    <t>CEO Reserve</t>
  </si>
  <si>
    <t>Postage</t>
  </si>
  <si>
    <t>Telephone</t>
  </si>
  <si>
    <t>Advertising</t>
  </si>
  <si>
    <t>Travel</t>
  </si>
  <si>
    <t>Administrative Software</t>
  </si>
  <si>
    <t>Business Services</t>
  </si>
  <si>
    <t>Printing</t>
  </si>
  <si>
    <t>Payroll Services</t>
  </si>
  <si>
    <t>Software Hosting and Amortization</t>
  </si>
  <si>
    <t>Building Operations</t>
  </si>
  <si>
    <t>Property Services</t>
  </si>
  <si>
    <t>Insurance</t>
  </si>
  <si>
    <t>Custodial</t>
  </si>
  <si>
    <t>Utilities</t>
  </si>
  <si>
    <t>Maintenance &amp; Repairs</t>
  </si>
  <si>
    <t>Central Information Technology</t>
  </si>
  <si>
    <t>Internet Services</t>
  </si>
  <si>
    <t>Total Support Services</t>
  </si>
  <si>
    <t>Non Instructional Activities</t>
  </si>
  <si>
    <t>Excess of Revenue over Expenditures</t>
  </si>
  <si>
    <t>Contribution to Reserve</t>
  </si>
  <si>
    <t>Excess of Revenue over Expenditures Adjusted</t>
  </si>
  <si>
    <t>Office of the CEO</t>
  </si>
  <si>
    <t>Conversion to GAAP</t>
  </si>
  <si>
    <t xml:space="preserve">Government </t>
  </si>
  <si>
    <t>GAAP</t>
  </si>
  <si>
    <t>Convert Expense to Asset</t>
  </si>
  <si>
    <t>Depreciation Expense</t>
  </si>
  <si>
    <t>5-8</t>
  </si>
  <si>
    <t>Allocated</t>
  </si>
  <si>
    <t>Actual</t>
  </si>
  <si>
    <t>Variance</t>
  </si>
  <si>
    <t>Memphis Street Academy Charter School</t>
  </si>
  <si>
    <t>Fund Balance Approved by the BOT</t>
  </si>
  <si>
    <t>Payroll</t>
  </si>
  <si>
    <t>Pay Period</t>
  </si>
  <si>
    <t>Pay</t>
  </si>
  <si>
    <t>Number</t>
  </si>
  <si>
    <t>From</t>
  </si>
  <si>
    <t>To</t>
  </si>
  <si>
    <t>Date</t>
  </si>
  <si>
    <t>Payroll Calendar</t>
  </si>
  <si>
    <r>
      <t xml:space="preserve">OPT OUT </t>
    </r>
    <r>
      <rPr>
        <b/>
        <sz val="10"/>
        <color indexed="10"/>
        <rFont val="Arial"/>
        <family val="2"/>
      </rPr>
      <t>STARTS</t>
    </r>
  </si>
  <si>
    <r>
      <t xml:space="preserve">OPT OUT </t>
    </r>
    <r>
      <rPr>
        <b/>
        <sz val="10"/>
        <color indexed="10"/>
        <rFont val="Arial"/>
        <family val="2"/>
      </rPr>
      <t>ENDS</t>
    </r>
  </si>
  <si>
    <t>Summer Pays</t>
  </si>
  <si>
    <t>Transportation</t>
  </si>
  <si>
    <t>Summer School/Saturday School</t>
  </si>
  <si>
    <t>School Vans</t>
  </si>
  <si>
    <t xml:space="preserve">Ending Unrestricted Fund Balance </t>
  </si>
  <si>
    <t>Lease Rental</t>
  </si>
  <si>
    <t>School Improvement (SIG)</t>
  </si>
  <si>
    <t>Computers</t>
  </si>
  <si>
    <t>Capital Building Repairs Amort</t>
  </si>
  <si>
    <t>Memphis Streeet Academy Charter School</t>
  </si>
  <si>
    <t>At J. P. Jones</t>
  </si>
  <si>
    <t>Proposed Budget with Prior Year for Comparison</t>
  </si>
  <si>
    <t>admin</t>
  </si>
  <si>
    <t>July 2016</t>
  </si>
  <si>
    <t>2016-2017</t>
  </si>
  <si>
    <t>648/232</t>
  </si>
  <si>
    <t>2016-17</t>
  </si>
  <si>
    <t>Legal/Audit Services</t>
  </si>
  <si>
    <t>Financial Operations Report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</si>
</sst>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7" formatCode="mm/dd/yy;@"/>
    <numFmt numFmtId="168" formatCode="mm/dd/yy"/>
    <numFmt numFmtId="169" formatCode="#,##0.000000000_);\(#,##0.000000000\)"/>
    <numFmt numFmtId="170" formatCode="[$-409]mmmm\ d\,\ 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11" fillId="0" borderId="0"/>
    <xf numFmtId="0" fontId="11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136">
    <xf numFmtId="0" fontId="0" fillId="0" borderId="0" xfId="0"/>
    <xf numFmtId="0" fontId="4" fillId="0" borderId="0" xfId="0" applyFont="1"/>
    <xf numFmtId="0" fontId="2" fillId="0" borderId="0" xfId="0" applyFont="1"/>
    <xf numFmtId="0" fontId="4" fillId="0" borderId="0" xfId="0" applyFont="1" applyFill="1"/>
    <xf numFmtId="37" fontId="4" fillId="0" borderId="0" xfId="0" applyNumberFormat="1" applyFont="1" applyFill="1"/>
    <xf numFmtId="0" fontId="4" fillId="0" borderId="0" xfId="0" applyFont="1" applyAlignment="1">
      <alignment horizontal="left"/>
    </xf>
    <xf numFmtId="41" fontId="4" fillId="0" borderId="0" xfId="0" applyNumberFormat="1" applyFont="1" applyFill="1"/>
    <xf numFmtId="41" fontId="4" fillId="0" borderId="1" xfId="0" applyNumberFormat="1" applyFont="1" applyFill="1" applyBorder="1"/>
    <xf numFmtId="37" fontId="4" fillId="2" borderId="0" xfId="1" applyNumberFormat="1" applyFont="1" applyFill="1" applyAlignment="1">
      <alignment horizontal="center"/>
    </xf>
    <xf numFmtId="37" fontId="4" fillId="0" borderId="1" xfId="1" applyNumberFormat="1" applyFont="1" applyBorder="1"/>
    <xf numFmtId="37" fontId="2" fillId="0" borderId="1" xfId="1" applyNumberFormat="1" applyFont="1" applyBorder="1" applyAlignment="1">
      <alignment horizontal="right"/>
    </xf>
    <xf numFmtId="37" fontId="2" fillId="0" borderId="1" xfId="1" applyNumberFormat="1" applyFont="1" applyBorder="1"/>
    <xf numFmtId="37" fontId="2" fillId="0" borderId="0" xfId="1" applyNumberFormat="1" applyFont="1" applyBorder="1"/>
    <xf numFmtId="37" fontId="2" fillId="0" borderId="3" xfId="1" applyNumberFormat="1" applyFont="1" applyBorder="1"/>
    <xf numFmtId="37" fontId="2" fillId="0" borderId="4" xfId="1" applyNumberFormat="1" applyFont="1" applyBorder="1"/>
    <xf numFmtId="41" fontId="4" fillId="0" borderId="0" xfId="0" applyNumberFormat="1" applyFont="1"/>
    <xf numFmtId="0" fontId="4" fillId="3" borderId="0" xfId="0" applyFont="1" applyFill="1"/>
    <xf numFmtId="41" fontId="2" fillId="0" borderId="0" xfId="0" applyNumberFormat="1" applyFont="1" applyAlignment="1">
      <alignment horizontal="center"/>
    </xf>
    <xf numFmtId="41" fontId="2" fillId="0" borderId="0" xfId="1" applyNumberFormat="1" applyFont="1" applyFill="1" applyAlignment="1">
      <alignment horizontal="center"/>
    </xf>
    <xf numFmtId="41" fontId="4" fillId="0" borderId="0" xfId="1" applyNumberFormat="1" applyFont="1" applyFill="1" applyBorder="1" applyAlignment="1">
      <alignment horizontal="right"/>
    </xf>
    <xf numFmtId="41" fontId="2" fillId="0" borderId="1" xfId="0" applyNumberFormat="1" applyFont="1" applyBorder="1"/>
    <xf numFmtId="0" fontId="7" fillId="0" borderId="0" xfId="0" applyFont="1"/>
    <xf numFmtId="41" fontId="8" fillId="0" borderId="0" xfId="0" applyNumberFormat="1" applyFont="1"/>
    <xf numFmtId="41" fontId="8" fillId="3" borderId="0" xfId="0" applyNumberFormat="1" applyFont="1" applyFill="1"/>
    <xf numFmtId="0" fontId="7" fillId="5" borderId="0" xfId="0" applyFon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13" fillId="6" borderId="0" xfId="0" applyFont="1" applyFill="1" applyBorder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167" fontId="0" fillId="4" borderId="0" xfId="0" applyNumberFormat="1" applyFill="1" applyBorder="1" applyAlignment="1">
      <alignment horizontal="center"/>
    </xf>
    <xf numFmtId="0" fontId="0" fillId="4" borderId="0" xfId="0" applyFill="1"/>
    <xf numFmtId="0" fontId="0" fillId="0" borderId="11" xfId="0" applyBorder="1"/>
    <xf numFmtId="0" fontId="0" fillId="0" borderId="12" xfId="0" applyBorder="1"/>
    <xf numFmtId="0" fontId="13" fillId="0" borderId="0" xfId="0" applyFont="1" applyAlignment="1">
      <alignment horizontal="center"/>
    </xf>
    <xf numFmtId="41" fontId="8" fillId="0" borderId="0" xfId="0" applyNumberFormat="1" applyFont="1" applyFill="1"/>
    <xf numFmtId="41" fontId="13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41" fontId="2" fillId="0" borderId="0" xfId="0" quotePrefix="1" applyNumberFormat="1" applyFont="1" applyAlignment="1">
      <alignment horizontal="center"/>
    </xf>
    <xf numFmtId="0" fontId="7" fillId="0" borderId="0" xfId="0" applyFont="1" applyFill="1"/>
    <xf numFmtId="167" fontId="0" fillId="0" borderId="0" xfId="0" applyNumberFormat="1" applyFill="1" applyBorder="1" applyAlignment="1">
      <alignment horizontal="center"/>
    </xf>
    <xf numFmtId="0" fontId="0" fillId="0" borderId="0" xfId="0" applyFill="1"/>
    <xf numFmtId="0" fontId="13" fillId="0" borderId="6" xfId="0" applyFon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/>
    <xf numFmtId="0" fontId="4" fillId="0" borderId="0" xfId="8"/>
    <xf numFmtId="0" fontId="4" fillId="0" borderId="0" xfId="8" applyFont="1"/>
    <xf numFmtId="0" fontId="2" fillId="0" borderId="0" xfId="8" applyFont="1"/>
    <xf numFmtId="0" fontId="2" fillId="0" borderId="0" xfId="8" applyFont="1" applyAlignment="1">
      <alignment horizontal="center"/>
    </xf>
    <xf numFmtId="0" fontId="2" fillId="0" borderId="0" xfId="8" applyFont="1" applyFill="1"/>
    <xf numFmtId="0" fontId="4" fillId="0" borderId="0" xfId="8" applyFont="1" applyFill="1"/>
    <xf numFmtId="0" fontId="2" fillId="0" borderId="0" xfId="8" quotePrefix="1" applyFont="1" applyAlignment="1"/>
    <xf numFmtId="37" fontId="4" fillId="0" borderId="0" xfId="9" applyNumberFormat="1" applyFont="1" applyFill="1" applyBorder="1" applyAlignment="1">
      <alignment horizontal="right"/>
    </xf>
    <xf numFmtId="41" fontId="4" fillId="0" borderId="0" xfId="8" applyNumberFormat="1" applyFont="1"/>
    <xf numFmtId="41" fontId="4" fillId="0" borderId="0" xfId="8" applyNumberFormat="1" applyFont="1" applyFill="1"/>
    <xf numFmtId="37" fontId="2" fillId="0" borderId="0" xfId="9" applyNumberFormat="1" applyFont="1" applyFill="1" applyBorder="1" applyAlignment="1">
      <alignment horizontal="right"/>
    </xf>
    <xf numFmtId="0" fontId="3" fillId="0" borderId="0" xfId="8" applyFont="1" applyAlignment="1">
      <alignment horizontal="center"/>
    </xf>
    <xf numFmtId="0" fontId="2" fillId="0" borderId="0" xfId="8" applyFont="1" applyAlignment="1">
      <alignment horizontal="left"/>
    </xf>
    <xf numFmtId="0" fontId="2" fillId="0" borderId="0" xfId="8" applyFont="1" applyAlignment="1">
      <alignment horizontal="right"/>
    </xf>
    <xf numFmtId="1" fontId="2" fillId="0" borderId="0" xfId="9" applyNumberFormat="1" applyFont="1" applyFill="1" applyAlignment="1">
      <alignment horizontal="center"/>
    </xf>
    <xf numFmtId="0" fontId="5" fillId="0" borderId="0" xfId="8" quotePrefix="1" applyFont="1" applyAlignment="1">
      <alignment horizontal="left"/>
    </xf>
    <xf numFmtId="49" fontId="5" fillId="0" borderId="0" xfId="8" applyNumberFormat="1" applyFont="1" applyAlignment="1">
      <alignment horizontal="center" wrapText="1"/>
    </xf>
    <xf numFmtId="0" fontId="5" fillId="0" borderId="0" xfId="8" applyFont="1" applyAlignment="1">
      <alignment horizontal="center"/>
    </xf>
    <xf numFmtId="37" fontId="2" fillId="0" borderId="0" xfId="9" applyNumberFormat="1" applyFont="1" applyAlignment="1">
      <alignment horizontal="center"/>
    </xf>
    <xf numFmtId="0" fontId="4" fillId="0" borderId="0" xfId="8" quotePrefix="1" applyFont="1" applyAlignment="1">
      <alignment horizontal="left"/>
    </xf>
    <xf numFmtId="164" fontId="4" fillId="0" borderId="0" xfId="8" applyNumberFormat="1" applyFont="1" applyFill="1"/>
    <xf numFmtId="37" fontId="4" fillId="0" borderId="0" xfId="8" applyNumberFormat="1" applyFont="1" applyFill="1"/>
    <xf numFmtId="0" fontId="4" fillId="0" borderId="0" xfId="8" applyFont="1" applyAlignment="1">
      <alignment horizontal="left"/>
    </xf>
    <xf numFmtId="0" fontId="2" fillId="0" borderId="0" xfId="8" quotePrefix="1" applyFont="1" applyAlignment="1">
      <alignment horizontal="left"/>
    </xf>
    <xf numFmtId="0" fontId="2" fillId="0" borderId="0" xfId="8" applyFont="1" applyFill="1" applyAlignment="1">
      <alignment horizontal="center"/>
    </xf>
    <xf numFmtId="41" fontId="6" fillId="0" borderId="0" xfId="8" applyNumberFormat="1" applyFont="1" applyFill="1"/>
    <xf numFmtId="0" fontId="4" fillId="2" borderId="0" xfId="8" applyFont="1" applyFill="1"/>
    <xf numFmtId="37" fontId="4" fillId="2" borderId="0" xfId="9" applyNumberFormat="1" applyFont="1" applyFill="1" applyAlignment="1">
      <alignment horizontal="center"/>
    </xf>
    <xf numFmtId="37" fontId="2" fillId="0" borderId="0" xfId="9" quotePrefix="1" applyNumberFormat="1" applyFont="1" applyAlignment="1">
      <alignment horizontal="center"/>
    </xf>
    <xf numFmtId="37" fontId="4" fillId="0" borderId="0" xfId="9" applyNumberFormat="1" applyFont="1" applyFill="1" applyAlignment="1">
      <alignment horizontal="right"/>
    </xf>
    <xf numFmtId="37" fontId="4" fillId="0" borderId="0" xfId="9" applyNumberFormat="1" applyFont="1" applyAlignment="1">
      <alignment horizontal="right"/>
    </xf>
    <xf numFmtId="37" fontId="4" fillId="0" borderId="0" xfId="9" applyNumberFormat="1" applyFont="1" applyFill="1"/>
    <xf numFmtId="37" fontId="4" fillId="0" borderId="0" xfId="9" applyNumberFormat="1" applyFont="1" applyFill="1" applyBorder="1"/>
    <xf numFmtId="37" fontId="4" fillId="0" borderId="1" xfId="9" applyNumberFormat="1" applyFont="1" applyFill="1" applyBorder="1"/>
    <xf numFmtId="164" fontId="4" fillId="0" borderId="2" xfId="9" applyNumberFormat="1" applyFont="1" applyFill="1" applyBorder="1"/>
    <xf numFmtId="0" fontId="3" fillId="0" borderId="0" xfId="8" quotePrefix="1" applyFont="1" applyAlignment="1">
      <alignment horizontal="center"/>
    </xf>
    <xf numFmtId="164" fontId="4" fillId="0" borderId="0" xfId="8" applyNumberFormat="1" applyFont="1" applyFill="1" applyBorder="1"/>
    <xf numFmtId="1" fontId="2" fillId="0" borderId="0" xfId="8" applyNumberFormat="1" applyFont="1" applyAlignment="1">
      <alignment horizontal="center"/>
    </xf>
    <xf numFmtId="0" fontId="3" fillId="0" borderId="0" xfId="8" quotePrefix="1" applyFont="1" applyAlignment="1"/>
    <xf numFmtId="37" fontId="2" fillId="0" borderId="1" xfId="9" applyNumberFormat="1" applyFont="1" applyFill="1" applyBorder="1"/>
    <xf numFmtId="0" fontId="4" fillId="0" borderId="0" xfId="8" applyFont="1" applyFill="1" applyBorder="1"/>
    <xf numFmtId="37" fontId="2" fillId="0" borderId="3" xfId="9" applyNumberFormat="1" applyFont="1" applyFill="1" applyBorder="1"/>
    <xf numFmtId="168" fontId="0" fillId="0" borderId="0" xfId="0" applyNumberFormat="1" applyFill="1" applyBorder="1" applyAlignment="1">
      <alignment horizontal="center"/>
    </xf>
    <xf numFmtId="43" fontId="0" fillId="0" borderId="0" xfId="1" applyFont="1" applyFill="1"/>
    <xf numFmtId="0" fontId="0" fillId="0" borderId="0" xfId="0" applyFill="1" applyAlignment="1">
      <alignment horizontal="center"/>
    </xf>
    <xf numFmtId="43" fontId="13" fillId="0" borderId="0" xfId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9" fontId="7" fillId="0" borderId="0" xfId="0" applyNumberFormat="1" applyFont="1" applyFill="1"/>
    <xf numFmtId="43" fontId="8" fillId="0" borderId="0" xfId="1" applyFont="1" applyFill="1"/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center"/>
    </xf>
    <xf numFmtId="43" fontId="0" fillId="0" borderId="0" xfId="0" applyNumberFormat="1" applyFill="1" applyAlignment="1">
      <alignment horizontal="center"/>
    </xf>
    <xf numFmtId="43" fontId="7" fillId="0" borderId="0" xfId="0" applyNumberFormat="1" applyFont="1" applyFill="1"/>
    <xf numFmtId="41" fontId="7" fillId="0" borderId="0" xfId="0" applyNumberFormat="1" applyFont="1" applyFill="1"/>
    <xf numFmtId="37" fontId="4" fillId="0" borderId="0" xfId="1" applyNumberFormat="1" applyFont="1" applyFill="1" applyAlignment="1">
      <alignment horizontal="center"/>
    </xf>
    <xf numFmtId="0" fontId="4" fillId="0" borderId="0" xfId="8" applyFill="1"/>
    <xf numFmtId="0" fontId="2" fillId="0" borderId="0" xfId="8" applyFont="1" applyAlignment="1">
      <alignment horizontal="center"/>
    </xf>
    <xf numFmtId="164" fontId="2" fillId="0" borderId="1" xfId="0" applyNumberFormat="1" applyFont="1" applyBorder="1"/>
    <xf numFmtId="164" fontId="2" fillId="0" borderId="1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37" fontId="2" fillId="0" borderId="1" xfId="1" applyNumberFormat="1" applyFont="1" applyFill="1" applyBorder="1"/>
    <xf numFmtId="0" fontId="15" fillId="5" borderId="0" xfId="0" applyFont="1" applyFill="1"/>
    <xf numFmtId="37" fontId="2" fillId="0" borderId="1" xfId="0" applyNumberFormat="1" applyFont="1" applyBorder="1"/>
    <xf numFmtId="41" fontId="2" fillId="0" borderId="1" xfId="0" applyNumberFormat="1" applyFont="1" applyFill="1" applyBorder="1"/>
    <xf numFmtId="164" fontId="2" fillId="0" borderId="1" xfId="8" applyNumberFormat="1" applyFont="1" applyFill="1" applyBorder="1"/>
    <xf numFmtId="43" fontId="4" fillId="0" borderId="1" xfId="1" applyFont="1" applyBorder="1"/>
    <xf numFmtId="16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/>
    <xf numFmtId="37" fontId="2" fillId="0" borderId="1" xfId="8" applyNumberFormat="1" applyFont="1" applyFill="1" applyBorder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70" fontId="17" fillId="0" borderId="0" xfId="0" applyNumberFormat="1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8" quotePrefix="1" applyFont="1" applyAlignment="1">
      <alignment horizontal="center"/>
    </xf>
    <xf numFmtId="0" fontId="3" fillId="0" borderId="0" xfId="8" quotePrefix="1" applyFont="1" applyAlignment="1">
      <alignment horizontal="center"/>
    </xf>
    <xf numFmtId="0" fontId="2" fillId="0" borderId="0" xfId="8" applyFont="1" applyAlignment="1">
      <alignment horizontal="center"/>
    </xf>
  </cellXfs>
  <cellStyles count="11">
    <cellStyle name="Comma" xfId="1" builtinId="3"/>
    <cellStyle name="Comma 2" xfId="9"/>
    <cellStyle name="Comma 57" xfId="7"/>
    <cellStyle name="Normal" xfId="0" builtinId="0"/>
    <cellStyle name="Normal 10 2" xfId="3"/>
    <cellStyle name="Normal 2" xfId="10"/>
    <cellStyle name="Normal 2 12" xfId="2"/>
    <cellStyle name="Normal 2_ICS Monthly Food Services 2011-2012" xfId="6"/>
    <cellStyle name="Normal 26" xfId="4"/>
    <cellStyle name="Normal 3" xfId="8"/>
    <cellStyle name="Normal 3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1"/>
  <sheetViews>
    <sheetView workbookViewId="0">
      <selection activeCell="I13" sqref="I13"/>
    </sheetView>
  </sheetViews>
  <sheetFormatPr defaultRowHeight="15"/>
  <cols>
    <col min="1" max="1" width="17.5703125" style="50" bestFit="1" customWidth="1"/>
    <col min="2" max="6" width="9.140625" style="50"/>
    <col min="7" max="7" width="11" style="50" customWidth="1"/>
    <col min="8" max="16384" width="9.140625" style="50"/>
  </cols>
  <sheetData>
    <row r="3" spans="1:9" ht="25.5">
      <c r="A3" s="124" t="s">
        <v>99</v>
      </c>
      <c r="B3" s="124"/>
      <c r="C3" s="124"/>
      <c r="D3" s="124"/>
      <c r="E3" s="124"/>
      <c r="F3" s="124"/>
      <c r="G3" s="124"/>
      <c r="H3" s="121"/>
      <c r="I3" s="121"/>
    </row>
    <row r="7" spans="1:9" ht="23.25">
      <c r="A7" s="125" t="s">
        <v>129</v>
      </c>
      <c r="B7" s="125"/>
      <c r="C7" s="125"/>
      <c r="D7" s="125"/>
      <c r="E7" s="125"/>
      <c r="F7" s="125"/>
      <c r="G7" s="125"/>
      <c r="H7" s="122"/>
      <c r="I7" s="122"/>
    </row>
    <row r="8" spans="1:9" ht="23.25">
      <c r="A8" s="123"/>
      <c r="B8" s="123"/>
      <c r="C8" s="123"/>
      <c r="D8" s="123"/>
      <c r="E8" s="123"/>
      <c r="F8" s="123"/>
      <c r="G8" s="123"/>
      <c r="H8" s="123"/>
      <c r="I8" s="123"/>
    </row>
    <row r="11" spans="1:9" ht="23.25">
      <c r="A11" s="126">
        <v>42582</v>
      </c>
      <c r="B11" s="126"/>
      <c r="C11" s="126"/>
      <c r="D11" s="126"/>
      <c r="E11" s="126"/>
      <c r="F11" s="126"/>
      <c r="G11" s="126"/>
      <c r="H11" s="122"/>
      <c r="I11" s="122"/>
    </row>
  </sheetData>
  <mergeCells count="3">
    <mergeCell ref="A3:G3"/>
    <mergeCell ref="A7:G7"/>
    <mergeCell ref="A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36"/>
  <sheetViews>
    <sheetView tabSelected="1" zoomScaleNormal="100" workbookViewId="0">
      <selection activeCell="H201" sqref="H201"/>
    </sheetView>
  </sheetViews>
  <sheetFormatPr defaultRowHeight="15.75"/>
  <cols>
    <col min="1" max="2" width="5.140625" style="26" customWidth="1"/>
    <col min="3" max="3" width="3.28515625" style="1" customWidth="1"/>
    <col min="4" max="4" width="3.5703125" style="1" customWidth="1"/>
    <col min="5" max="5" width="3.7109375" style="1" customWidth="1"/>
    <col min="6" max="6" width="3.42578125" style="1" customWidth="1"/>
    <col min="7" max="7" width="3.28515625" style="1" customWidth="1"/>
    <col min="8" max="8" width="27" style="1" customWidth="1"/>
    <col min="9" max="9" width="14.85546875" style="1" bestFit="1" customWidth="1"/>
    <col min="10" max="10" width="2.140625" style="24" customWidth="1"/>
    <col min="11" max="11" width="13.7109375" style="22" customWidth="1"/>
    <col min="12" max="13" width="13.28515625" style="22" customWidth="1"/>
    <col min="14" max="14" width="12.28515625" style="44" customWidth="1"/>
    <col min="15" max="15" width="20.28515625" style="44" bestFit="1" customWidth="1"/>
    <col min="16" max="16" width="4.85546875" customWidth="1"/>
    <col min="17" max="17" width="13.28515625" style="39" bestFit="1" customWidth="1"/>
    <col min="18" max="18" width="19.7109375" style="25" bestFit="1" customWidth="1"/>
    <col min="19" max="19" width="15.140625" style="25" bestFit="1" customWidth="1"/>
    <col min="20" max="20" width="18.5703125" style="25" bestFit="1" customWidth="1"/>
    <col min="21" max="21" width="5.5703125" customWidth="1"/>
    <col min="22" max="22" width="12.28515625" customWidth="1"/>
    <col min="23" max="23" width="10.5703125" customWidth="1"/>
    <col min="25" max="16384" width="9.140625" style="21"/>
  </cols>
  <sheetData>
    <row r="1" spans="2:23">
      <c r="B1" s="133" t="s">
        <v>120</v>
      </c>
      <c r="C1" s="133"/>
      <c r="D1" s="133"/>
      <c r="E1" s="133"/>
      <c r="F1" s="133"/>
      <c r="G1" s="133"/>
      <c r="H1" s="133"/>
      <c r="I1" s="57"/>
    </row>
    <row r="2" spans="2:23">
      <c r="B2" s="134" t="s">
        <v>121</v>
      </c>
      <c r="C2" s="134"/>
      <c r="D2" s="134"/>
      <c r="E2" s="134"/>
      <c r="F2" s="134"/>
      <c r="G2" s="134"/>
      <c r="H2" s="134"/>
      <c r="I2" s="89"/>
    </row>
    <row r="3" spans="2:23">
      <c r="B3" s="86"/>
      <c r="C3" s="86"/>
      <c r="D3" s="86"/>
      <c r="E3" s="86"/>
      <c r="F3" s="86"/>
      <c r="G3" s="86"/>
      <c r="H3" s="86"/>
      <c r="I3" s="86"/>
    </row>
    <row r="4" spans="2:23">
      <c r="B4" s="135" t="s">
        <v>122</v>
      </c>
      <c r="C4" s="135"/>
      <c r="D4" s="135"/>
      <c r="E4" s="135"/>
      <c r="F4" s="135"/>
      <c r="G4" s="135"/>
      <c r="H4" s="135"/>
      <c r="I4" s="135"/>
    </row>
    <row r="5" spans="2:23">
      <c r="B5" s="54"/>
      <c r="C5" s="54"/>
      <c r="D5" s="54"/>
      <c r="E5" s="54"/>
      <c r="F5" s="54"/>
      <c r="G5" s="54"/>
      <c r="H5" s="54"/>
      <c r="I5" s="54"/>
    </row>
    <row r="6" spans="2:23">
      <c r="B6" s="62"/>
      <c r="C6" s="62"/>
      <c r="D6" s="62"/>
      <c r="E6" s="62"/>
      <c r="F6" s="62"/>
      <c r="G6" s="63" t="s">
        <v>0</v>
      </c>
      <c r="H6" s="64"/>
      <c r="I6" s="107" t="s">
        <v>125</v>
      </c>
      <c r="K6" s="107" t="s">
        <v>125</v>
      </c>
      <c r="L6" s="107" t="s">
        <v>125</v>
      </c>
      <c r="M6" s="107" t="s">
        <v>125</v>
      </c>
    </row>
    <row r="7" spans="2:23">
      <c r="B7" s="62"/>
      <c r="C7" s="62"/>
      <c r="D7" s="62"/>
      <c r="E7" s="62"/>
      <c r="F7" s="62"/>
      <c r="G7" s="63"/>
      <c r="H7" s="64"/>
      <c r="I7" s="54"/>
      <c r="K7" s="43" t="s">
        <v>126</v>
      </c>
      <c r="L7" s="43"/>
      <c r="M7" s="17"/>
    </row>
    <row r="8" spans="2:23">
      <c r="B8" s="62"/>
      <c r="C8" s="62"/>
      <c r="D8" s="62"/>
      <c r="E8" s="62"/>
      <c r="F8" s="62"/>
      <c r="G8" s="63" t="s">
        <v>1</v>
      </c>
      <c r="H8" s="64"/>
      <c r="I8" s="88">
        <v>880</v>
      </c>
      <c r="K8" s="88">
        <v>880</v>
      </c>
      <c r="L8" s="43"/>
      <c r="M8" s="43"/>
    </row>
    <row r="9" spans="2:23">
      <c r="B9" s="62"/>
      <c r="C9" s="62"/>
      <c r="D9" s="62"/>
      <c r="E9" s="62"/>
      <c r="F9" s="62"/>
      <c r="G9" s="63" t="s">
        <v>2</v>
      </c>
      <c r="H9" s="51"/>
      <c r="I9" s="65">
        <v>880</v>
      </c>
      <c r="K9" s="18" t="s">
        <v>96</v>
      </c>
      <c r="L9" s="18" t="s">
        <v>97</v>
      </c>
      <c r="M9" s="18" t="s">
        <v>98</v>
      </c>
    </row>
    <row r="10" spans="2:23">
      <c r="B10" s="62"/>
      <c r="C10" s="62"/>
      <c r="D10" s="62"/>
      <c r="E10" s="62"/>
      <c r="F10" s="62"/>
      <c r="G10" s="66" t="s">
        <v>3</v>
      </c>
      <c r="H10" s="51"/>
      <c r="I10" s="67" t="s">
        <v>95</v>
      </c>
      <c r="K10" s="43" t="s">
        <v>124</v>
      </c>
      <c r="L10" s="43" t="s">
        <v>124</v>
      </c>
      <c r="M10" s="43" t="s">
        <v>124</v>
      </c>
    </row>
    <row r="11" spans="2:23">
      <c r="B11" s="62"/>
      <c r="C11" s="62"/>
      <c r="D11" s="62"/>
      <c r="E11" s="62"/>
      <c r="F11" s="62"/>
      <c r="G11" s="62"/>
      <c r="H11" s="68"/>
      <c r="I11" s="69"/>
    </row>
    <row r="12" spans="2:23" ht="15.75" customHeight="1">
      <c r="B12" s="53"/>
      <c r="C12" s="53" t="s">
        <v>4</v>
      </c>
      <c r="D12" s="51"/>
      <c r="E12" s="51"/>
      <c r="F12" s="51"/>
      <c r="G12" s="51"/>
      <c r="H12" s="51"/>
      <c r="I12" s="61"/>
    </row>
    <row r="13" spans="2:23" ht="15.75" customHeight="1">
      <c r="B13" s="53"/>
      <c r="C13" s="51"/>
      <c r="D13" s="53" t="s">
        <v>5</v>
      </c>
      <c r="E13" s="51"/>
      <c r="F13" s="51"/>
      <c r="G13" s="51"/>
      <c r="H13" s="51"/>
      <c r="I13" s="61"/>
    </row>
    <row r="14" spans="2:23" ht="16.5" thickBot="1">
      <c r="B14" s="53"/>
      <c r="C14" s="51"/>
      <c r="D14" s="51"/>
      <c r="E14" s="70" t="s">
        <v>6</v>
      </c>
      <c r="F14" s="51"/>
      <c r="G14" s="51"/>
      <c r="H14" s="51"/>
      <c r="I14" s="71">
        <f>I67</f>
        <v>10475581</v>
      </c>
      <c r="K14" s="6">
        <f>K67</f>
        <v>872965.08333333326</v>
      </c>
      <c r="L14" s="6">
        <f>L67</f>
        <v>935194.15</v>
      </c>
      <c r="M14" s="6">
        <f>M67</f>
        <v>62229.066666666709</v>
      </c>
    </row>
    <row r="15" spans="2:23" ht="18">
      <c r="B15" s="53"/>
      <c r="C15" s="51"/>
      <c r="D15" s="51"/>
      <c r="E15" s="70" t="s">
        <v>7</v>
      </c>
      <c r="F15" s="51"/>
      <c r="G15" s="51"/>
      <c r="H15" s="51"/>
      <c r="I15" s="72">
        <f>I71</f>
        <v>271364</v>
      </c>
      <c r="K15" s="6">
        <f>K71</f>
        <v>0</v>
      </c>
      <c r="L15" s="6">
        <f>L71</f>
        <v>0</v>
      </c>
      <c r="M15" s="6">
        <f>M71</f>
        <v>0</v>
      </c>
      <c r="P15" s="130" t="s">
        <v>99</v>
      </c>
      <c r="Q15" s="131"/>
      <c r="R15" s="131"/>
      <c r="S15" s="131"/>
      <c r="T15" s="131"/>
      <c r="U15" s="132"/>
      <c r="V15" s="50"/>
      <c r="W15" s="50"/>
    </row>
    <row r="16" spans="2:23">
      <c r="B16" s="53"/>
      <c r="C16" s="51"/>
      <c r="D16" s="51"/>
      <c r="E16" s="70" t="s">
        <v>8</v>
      </c>
      <c r="F16" s="51"/>
      <c r="G16" s="51"/>
      <c r="H16" s="51"/>
      <c r="I16" s="72">
        <f>I75</f>
        <v>16523</v>
      </c>
      <c r="K16" s="6">
        <f>K75</f>
        <v>0</v>
      </c>
      <c r="L16" s="6">
        <f>L75</f>
        <v>0</v>
      </c>
      <c r="M16" s="6">
        <f>M75</f>
        <v>0</v>
      </c>
      <c r="P16" s="127" t="s">
        <v>108</v>
      </c>
      <c r="Q16" s="128"/>
      <c r="R16" s="128"/>
      <c r="S16" s="128"/>
      <c r="T16" s="128"/>
      <c r="U16" s="129"/>
      <c r="V16" s="50"/>
      <c r="W16" s="50"/>
    </row>
    <row r="17" spans="2:24">
      <c r="B17" s="53"/>
      <c r="C17" s="51"/>
      <c r="D17" s="51"/>
      <c r="E17" s="70" t="s">
        <v>9</v>
      </c>
      <c r="F17" s="51"/>
      <c r="G17" s="51"/>
      <c r="H17" s="51"/>
      <c r="I17" s="71">
        <f>I80</f>
        <v>1660142</v>
      </c>
      <c r="K17" s="6">
        <f>K80</f>
        <v>0</v>
      </c>
      <c r="L17" s="6">
        <f>L80</f>
        <v>0</v>
      </c>
      <c r="M17" s="6">
        <f>M80</f>
        <v>0</v>
      </c>
      <c r="P17" s="127" t="s">
        <v>127</v>
      </c>
      <c r="Q17" s="128"/>
      <c r="R17" s="128"/>
      <c r="S17" s="128"/>
      <c r="T17" s="128"/>
      <c r="U17" s="129"/>
      <c r="V17" s="50"/>
      <c r="W17" s="50"/>
    </row>
    <row r="18" spans="2:24">
      <c r="B18" s="53"/>
      <c r="C18" s="51"/>
      <c r="D18" s="51"/>
      <c r="E18" s="51"/>
      <c r="F18" s="53" t="s">
        <v>10</v>
      </c>
      <c r="G18" s="51"/>
      <c r="H18" s="51"/>
      <c r="I18" s="116">
        <f>SUM(I14:I17)</f>
        <v>12423610</v>
      </c>
      <c r="J18" s="113"/>
      <c r="K18" s="115">
        <f>SUM(K14:K17)</f>
        <v>872965.08333333326</v>
      </c>
      <c r="L18" s="115">
        <f>SUM(L14:L17)</f>
        <v>935194.15</v>
      </c>
      <c r="M18" s="115">
        <f>SUM(M14:M17)</f>
        <v>62229.066666666709</v>
      </c>
      <c r="P18" s="27"/>
      <c r="Q18" s="49"/>
      <c r="R18" s="29"/>
      <c r="S18" s="29"/>
      <c r="T18" s="29"/>
      <c r="U18" s="30"/>
      <c r="V18" s="50"/>
      <c r="W18" s="50"/>
    </row>
    <row r="19" spans="2:24">
      <c r="B19" s="53"/>
      <c r="C19" s="51"/>
      <c r="D19" s="51"/>
      <c r="E19" s="51"/>
      <c r="F19" s="51"/>
      <c r="G19" s="51"/>
      <c r="H19" s="51"/>
      <c r="I19" s="71"/>
      <c r="K19" s="6"/>
      <c r="L19" s="6"/>
      <c r="M19" s="6"/>
      <c r="P19" s="27"/>
      <c r="Q19" s="49"/>
      <c r="R19" s="29"/>
      <c r="S19" s="29"/>
      <c r="T19" s="29"/>
      <c r="U19" s="30"/>
      <c r="V19" s="50"/>
      <c r="W19" s="50"/>
    </row>
    <row r="20" spans="2:24">
      <c r="B20" s="53"/>
      <c r="C20" s="54"/>
      <c r="D20" s="53" t="s">
        <v>11</v>
      </c>
      <c r="E20" s="51"/>
      <c r="F20" s="51"/>
      <c r="G20" s="51"/>
      <c r="H20" s="51"/>
      <c r="I20" s="58"/>
      <c r="K20" s="19"/>
      <c r="L20" s="19"/>
      <c r="M20" s="19"/>
      <c r="P20" s="27"/>
      <c r="Q20" s="49" t="s">
        <v>101</v>
      </c>
      <c r="R20" s="128" t="s">
        <v>102</v>
      </c>
      <c r="S20" s="128"/>
      <c r="T20" s="49" t="s">
        <v>103</v>
      </c>
      <c r="U20" s="30"/>
      <c r="V20" s="50"/>
      <c r="W20" s="50"/>
    </row>
    <row r="21" spans="2:24">
      <c r="B21" s="53"/>
      <c r="C21" s="54"/>
      <c r="D21" s="51"/>
      <c r="E21" s="53" t="s">
        <v>12</v>
      </c>
      <c r="F21" s="51"/>
      <c r="G21" s="51"/>
      <c r="H21" s="51"/>
      <c r="I21" s="58"/>
      <c r="K21" s="19"/>
      <c r="L21" s="19"/>
      <c r="M21" s="19"/>
      <c r="N21" s="6"/>
      <c r="O21" s="6"/>
      <c r="P21" s="27"/>
      <c r="Q21" s="49" t="s">
        <v>104</v>
      </c>
      <c r="R21" s="49" t="s">
        <v>105</v>
      </c>
      <c r="S21" s="49" t="s">
        <v>106</v>
      </c>
      <c r="T21" s="49" t="s">
        <v>107</v>
      </c>
      <c r="U21" s="30"/>
      <c r="V21" s="50"/>
      <c r="W21" s="50"/>
    </row>
    <row r="22" spans="2:24">
      <c r="B22" s="53"/>
      <c r="C22" s="54"/>
      <c r="D22" s="51"/>
      <c r="E22" s="51"/>
      <c r="F22" s="52" t="s">
        <v>13</v>
      </c>
      <c r="G22" s="51"/>
      <c r="H22" s="51"/>
      <c r="I22" s="72">
        <f>I95</f>
        <v>5388023</v>
      </c>
      <c r="K22" s="6">
        <f>K95</f>
        <v>123645.73205128206</v>
      </c>
      <c r="L22" s="6">
        <f>L95</f>
        <v>102748.95</v>
      </c>
      <c r="M22" s="6">
        <f>M95</f>
        <v>20896.782051282069</v>
      </c>
      <c r="N22" s="6"/>
      <c r="O22" s="6"/>
      <c r="P22" s="27"/>
      <c r="Q22" s="31"/>
      <c r="R22" s="32"/>
      <c r="S22" s="32"/>
      <c r="T22" s="32"/>
      <c r="U22" s="30"/>
      <c r="V22" s="50"/>
      <c r="W22" s="50"/>
    </row>
    <row r="23" spans="2:24">
      <c r="B23" s="53"/>
      <c r="C23" s="54"/>
      <c r="D23" s="51"/>
      <c r="E23" s="51"/>
      <c r="F23" s="52" t="s">
        <v>14</v>
      </c>
      <c r="G23" s="51"/>
      <c r="H23" s="51"/>
      <c r="I23" s="72">
        <f>I103</f>
        <v>1503876</v>
      </c>
      <c r="K23" s="6">
        <f>K103</f>
        <v>24488.076923076922</v>
      </c>
      <c r="L23" s="6">
        <f>L103</f>
        <v>20426.09</v>
      </c>
      <c r="M23" s="6">
        <f>M103</f>
        <v>4061.9869230769209</v>
      </c>
      <c r="N23" s="6"/>
      <c r="O23" s="6"/>
      <c r="P23" s="27"/>
      <c r="Q23" s="31"/>
      <c r="R23" s="32"/>
      <c r="S23" s="32"/>
      <c r="T23" s="32"/>
      <c r="U23" s="30"/>
      <c r="V23" s="50"/>
      <c r="W23" s="50"/>
      <c r="X23" s="50"/>
    </row>
    <row r="24" spans="2:24">
      <c r="B24" s="53"/>
      <c r="C24" s="54"/>
      <c r="D24" s="51"/>
      <c r="E24" s="51"/>
      <c r="F24" s="52" t="s">
        <v>113</v>
      </c>
      <c r="G24" s="51"/>
      <c r="H24" s="51"/>
      <c r="I24" s="72">
        <f>I108</f>
        <v>73957</v>
      </c>
      <c r="K24" s="4">
        <f t="shared" ref="K24:M24" si="0">+K108</f>
        <v>30978.5</v>
      </c>
      <c r="L24" s="4">
        <f t="shared" si="0"/>
        <v>28797.879999999997</v>
      </c>
      <c r="M24" s="4">
        <f t="shared" si="0"/>
        <v>2180.6200000000008</v>
      </c>
      <c r="N24" s="6"/>
      <c r="O24" s="6"/>
      <c r="P24" s="27"/>
      <c r="Q24" s="31" t="s">
        <v>123</v>
      </c>
      <c r="R24" s="32">
        <v>42541</v>
      </c>
      <c r="S24" s="32">
        <v>42552</v>
      </c>
      <c r="T24" s="32">
        <v>42559</v>
      </c>
      <c r="U24" s="30">
        <v>0.1</v>
      </c>
      <c r="V24" s="50"/>
      <c r="W24" s="50"/>
      <c r="X24" s="50"/>
    </row>
    <row r="25" spans="2:24">
      <c r="B25" s="53"/>
      <c r="C25" s="54"/>
      <c r="D25" s="51"/>
      <c r="E25" s="53" t="s">
        <v>15</v>
      </c>
      <c r="F25" s="51"/>
      <c r="G25" s="51"/>
      <c r="H25" s="51"/>
      <c r="I25" s="51"/>
      <c r="K25" s="15"/>
      <c r="L25" s="15"/>
      <c r="M25" s="15"/>
      <c r="N25" s="6"/>
      <c r="O25" s="6"/>
      <c r="P25" s="27"/>
      <c r="Q25" s="31" t="s">
        <v>123</v>
      </c>
      <c r="R25" s="32">
        <v>42555</v>
      </c>
      <c r="S25" s="32">
        <v>42566</v>
      </c>
      <c r="T25" s="32">
        <v>42573</v>
      </c>
      <c r="U25" s="30">
        <f>+U24+1</f>
        <v>1.1000000000000001</v>
      </c>
      <c r="V25" s="50"/>
      <c r="W25" s="50"/>
      <c r="X25" s="50"/>
    </row>
    <row r="26" spans="2:24">
      <c r="B26" s="53"/>
      <c r="C26" s="54"/>
      <c r="D26" s="51"/>
      <c r="E26" s="51"/>
      <c r="F26" s="52" t="s">
        <v>16</v>
      </c>
      <c r="G26" s="51"/>
      <c r="H26" s="51"/>
      <c r="I26" s="71">
        <f>I116</f>
        <v>469530</v>
      </c>
      <c r="K26" s="6">
        <f>K116</f>
        <v>19864.73076923077</v>
      </c>
      <c r="L26" s="6">
        <f>L116</f>
        <v>7308.6399999999994</v>
      </c>
      <c r="M26" s="6">
        <f>M116</f>
        <v>12556.09076923077</v>
      </c>
      <c r="N26" s="6"/>
      <c r="O26" s="6"/>
      <c r="P26" s="27"/>
      <c r="Q26" s="31" t="s">
        <v>123</v>
      </c>
      <c r="R26" s="32">
        <v>42569</v>
      </c>
      <c r="S26" s="32">
        <v>42580</v>
      </c>
      <c r="T26" s="32">
        <v>42587</v>
      </c>
      <c r="U26" s="30">
        <f t="shared" ref="U26:U49" si="1">+U25+1</f>
        <v>2.1</v>
      </c>
      <c r="V26" s="50"/>
      <c r="W26" s="50"/>
      <c r="X26" s="50"/>
    </row>
    <row r="27" spans="2:24">
      <c r="B27" s="53"/>
      <c r="C27" s="54"/>
      <c r="D27" s="51"/>
      <c r="E27" s="51"/>
      <c r="F27" s="56" t="s">
        <v>17</v>
      </c>
      <c r="G27" s="51"/>
      <c r="H27" s="51"/>
      <c r="I27" s="72">
        <f>I121</f>
        <v>107741</v>
      </c>
      <c r="K27" s="6">
        <f>K121</f>
        <v>5789.042307692308</v>
      </c>
      <c r="L27" s="6">
        <f>L121</f>
        <v>5234.6000000000004</v>
      </c>
      <c r="M27" s="6">
        <f>M121</f>
        <v>554.44230769230808</v>
      </c>
      <c r="N27" s="6"/>
      <c r="O27" s="6"/>
      <c r="P27" s="27"/>
      <c r="Q27" s="31" t="s">
        <v>123</v>
      </c>
      <c r="R27" s="32">
        <v>42583</v>
      </c>
      <c r="S27" s="32">
        <v>42594</v>
      </c>
      <c r="T27" s="32">
        <v>42601</v>
      </c>
      <c r="U27" s="30">
        <f t="shared" si="1"/>
        <v>3.1</v>
      </c>
      <c r="V27" s="50"/>
      <c r="W27" s="50"/>
      <c r="X27" s="50"/>
    </row>
    <row r="28" spans="2:24">
      <c r="B28" s="53"/>
      <c r="C28" s="54"/>
      <c r="D28" s="51"/>
      <c r="E28" s="51"/>
      <c r="F28" s="56" t="s">
        <v>18</v>
      </c>
      <c r="G28" s="51"/>
      <c r="H28" s="51"/>
      <c r="I28" s="71">
        <f>I125</f>
        <v>111124</v>
      </c>
      <c r="K28" s="6">
        <f>K125</f>
        <v>1604.2653846153846</v>
      </c>
      <c r="L28" s="6">
        <f>L125</f>
        <v>2019.82</v>
      </c>
      <c r="M28" s="6">
        <f>M125</f>
        <v>-415.55461538461532</v>
      </c>
      <c r="N28" s="6"/>
      <c r="O28" s="6"/>
      <c r="P28" s="27"/>
      <c r="Q28" s="49">
        <v>1</v>
      </c>
      <c r="R28" s="33">
        <f t="shared" ref="R28:T29" si="2">+R27+14</f>
        <v>42597</v>
      </c>
      <c r="S28" s="33">
        <f t="shared" si="2"/>
        <v>42608</v>
      </c>
      <c r="T28" s="33">
        <f t="shared" si="2"/>
        <v>42615</v>
      </c>
      <c r="U28" s="30">
        <f t="shared" si="1"/>
        <v>4.0999999999999996</v>
      </c>
      <c r="V28" s="50"/>
      <c r="W28" s="50"/>
    </row>
    <row r="29" spans="2:24">
      <c r="B29" s="53"/>
      <c r="C29" s="54"/>
      <c r="D29" s="51"/>
      <c r="E29" s="51"/>
      <c r="F29" s="56" t="s">
        <v>19</v>
      </c>
      <c r="G29" s="51"/>
      <c r="H29" s="51"/>
      <c r="I29" s="71">
        <f>I130</f>
        <v>102287</v>
      </c>
      <c r="K29" s="6">
        <f>K130</f>
        <v>904.83461538461552</v>
      </c>
      <c r="L29" s="6">
        <f>L130</f>
        <v>1278.5899999999999</v>
      </c>
      <c r="M29" s="6">
        <f>M130</f>
        <v>373.7553846153844</v>
      </c>
      <c r="N29" s="6"/>
      <c r="O29" s="6"/>
      <c r="P29" s="27"/>
      <c r="Q29" s="49">
        <v>2</v>
      </c>
      <c r="R29" s="33">
        <f t="shared" si="2"/>
        <v>42611</v>
      </c>
      <c r="S29" s="33">
        <f t="shared" si="2"/>
        <v>42622</v>
      </c>
      <c r="T29" s="33">
        <f t="shared" si="2"/>
        <v>42629</v>
      </c>
      <c r="U29" s="30">
        <f t="shared" si="1"/>
        <v>5.0999999999999996</v>
      </c>
      <c r="V29" s="1" t="s">
        <v>109</v>
      </c>
      <c r="W29" s="50"/>
    </row>
    <row r="30" spans="2:24">
      <c r="B30" s="53"/>
      <c r="C30" s="54"/>
      <c r="D30" s="51"/>
      <c r="E30" s="51"/>
      <c r="F30" s="56" t="s">
        <v>20</v>
      </c>
      <c r="G30" s="51"/>
      <c r="H30" s="51"/>
      <c r="I30" s="72">
        <f>I136</f>
        <v>118536</v>
      </c>
      <c r="K30" s="6">
        <f>K136</f>
        <v>8748.3179487179495</v>
      </c>
      <c r="L30" s="6">
        <f>L136</f>
        <v>9048.369999999999</v>
      </c>
      <c r="M30" s="6">
        <f>M136</f>
        <v>-300.0520512820508</v>
      </c>
      <c r="N30" s="6"/>
      <c r="O30" s="6"/>
      <c r="P30" s="27"/>
      <c r="Q30" s="49">
        <v>3</v>
      </c>
      <c r="R30" s="33">
        <f t="shared" ref="R30:T45" si="3">+R29+14</f>
        <v>42625</v>
      </c>
      <c r="S30" s="33">
        <f t="shared" si="3"/>
        <v>42636</v>
      </c>
      <c r="T30" s="33">
        <f t="shared" si="3"/>
        <v>42643</v>
      </c>
      <c r="U30" s="30">
        <f t="shared" si="1"/>
        <v>6.1</v>
      </c>
      <c r="V30" s="50"/>
      <c r="W30" s="50"/>
    </row>
    <row r="31" spans="2:24">
      <c r="B31" s="53"/>
      <c r="C31" s="54"/>
      <c r="D31" s="51"/>
      <c r="E31" s="51"/>
      <c r="F31" s="70" t="s">
        <v>21</v>
      </c>
      <c r="G31" s="51"/>
      <c r="H31" s="51"/>
      <c r="I31" s="72">
        <f>I140</f>
        <v>116153</v>
      </c>
      <c r="K31" s="6">
        <f>K140</f>
        <v>1886.626923076923</v>
      </c>
      <c r="L31" s="6">
        <f>L140</f>
        <v>330.35</v>
      </c>
      <c r="M31" s="6">
        <f>M140</f>
        <v>1556.2769230769231</v>
      </c>
      <c r="N31" s="6"/>
      <c r="O31" s="6"/>
      <c r="P31" s="27"/>
      <c r="Q31" s="49">
        <v>4</v>
      </c>
      <c r="R31" s="33">
        <f t="shared" si="3"/>
        <v>42639</v>
      </c>
      <c r="S31" s="33">
        <f t="shared" si="3"/>
        <v>42650</v>
      </c>
      <c r="T31" s="33">
        <f t="shared" si="3"/>
        <v>42657</v>
      </c>
      <c r="U31" s="30">
        <f t="shared" si="1"/>
        <v>7.1</v>
      </c>
      <c r="V31" s="50"/>
      <c r="W31" s="50"/>
    </row>
    <row r="32" spans="2:24">
      <c r="B32" s="53"/>
      <c r="C32" s="54"/>
      <c r="D32" s="51"/>
      <c r="E32" s="51"/>
      <c r="F32" s="73" t="s">
        <v>128</v>
      </c>
      <c r="G32" s="51"/>
      <c r="H32" s="51"/>
      <c r="I32" s="72">
        <f>I144</f>
        <v>150000</v>
      </c>
      <c r="K32" s="6">
        <f>K144</f>
        <v>10416.666666666666</v>
      </c>
      <c r="L32" s="6">
        <f>L144</f>
        <v>233.5</v>
      </c>
      <c r="M32" s="6">
        <f>M144</f>
        <v>10183.166666666666</v>
      </c>
      <c r="N32" s="6"/>
      <c r="O32" s="6"/>
      <c r="P32" s="27"/>
      <c r="Q32" s="49">
        <v>5</v>
      </c>
      <c r="R32" s="33">
        <f t="shared" si="3"/>
        <v>42653</v>
      </c>
      <c r="S32" s="33">
        <f t="shared" si="3"/>
        <v>42664</v>
      </c>
      <c r="T32" s="33">
        <f t="shared" si="3"/>
        <v>42671</v>
      </c>
      <c r="U32" s="30">
        <f t="shared" si="1"/>
        <v>8.1</v>
      </c>
      <c r="V32" s="50"/>
      <c r="W32" s="50"/>
    </row>
    <row r="33" spans="2:23">
      <c r="B33" s="53"/>
      <c r="C33" s="54"/>
      <c r="D33" s="51"/>
      <c r="E33" s="51"/>
      <c r="F33" s="73" t="s">
        <v>89</v>
      </c>
      <c r="G33" s="51"/>
      <c r="H33" s="51"/>
      <c r="I33" s="72">
        <f>I148</f>
        <v>258514</v>
      </c>
      <c r="K33" s="6">
        <f>+K148</f>
        <v>14939.74871794872</v>
      </c>
      <c r="L33" s="6">
        <f>+L148</f>
        <v>5681.98</v>
      </c>
      <c r="M33" s="6">
        <f>+M148</f>
        <v>9257.7687179487184</v>
      </c>
      <c r="N33" s="6"/>
      <c r="O33" s="6"/>
      <c r="P33" s="27"/>
      <c r="Q33" s="49">
        <v>6</v>
      </c>
      <c r="R33" s="33">
        <f t="shared" si="3"/>
        <v>42667</v>
      </c>
      <c r="S33" s="33">
        <f t="shared" si="3"/>
        <v>42678</v>
      </c>
      <c r="T33" s="33">
        <f t="shared" si="3"/>
        <v>42685</v>
      </c>
      <c r="U33" s="30">
        <f t="shared" si="1"/>
        <v>9.1</v>
      </c>
      <c r="V33" s="50"/>
      <c r="W33" s="50"/>
    </row>
    <row r="34" spans="2:23">
      <c r="B34" s="53"/>
      <c r="C34" s="54"/>
      <c r="D34" s="51"/>
      <c r="E34" s="51"/>
      <c r="F34" s="52" t="s">
        <v>23</v>
      </c>
      <c r="G34" s="51"/>
      <c r="H34" s="51"/>
      <c r="I34" s="72">
        <f>I163</f>
        <v>1585502</v>
      </c>
      <c r="K34" s="6">
        <f>K163</f>
        <v>114777.73461538463</v>
      </c>
      <c r="L34" s="6">
        <f>L163</f>
        <v>126998.38</v>
      </c>
      <c r="M34" s="6">
        <f>M163</f>
        <v>-12220.645384615382</v>
      </c>
      <c r="N34" s="6"/>
      <c r="O34" s="6"/>
      <c r="P34" s="27"/>
      <c r="Q34" s="49">
        <v>7</v>
      </c>
      <c r="R34" s="33">
        <f t="shared" si="3"/>
        <v>42681</v>
      </c>
      <c r="S34" s="33">
        <f t="shared" si="3"/>
        <v>42692</v>
      </c>
      <c r="T34" s="33">
        <f t="shared" si="3"/>
        <v>42699</v>
      </c>
      <c r="U34" s="30">
        <f t="shared" si="1"/>
        <v>10.1</v>
      </c>
      <c r="V34" s="50"/>
      <c r="W34" s="50"/>
    </row>
    <row r="35" spans="2:23">
      <c r="B35" s="53"/>
      <c r="C35" s="54"/>
      <c r="D35" s="51"/>
      <c r="E35" s="51"/>
      <c r="F35" s="52" t="s">
        <v>24</v>
      </c>
      <c r="G35" s="51"/>
      <c r="H35" s="51"/>
      <c r="I35" s="72">
        <f>I167</f>
        <v>100000</v>
      </c>
      <c r="K35" s="6">
        <f>K167</f>
        <v>0</v>
      </c>
      <c r="L35" s="6">
        <f>L167</f>
        <v>0</v>
      </c>
      <c r="M35" s="6">
        <f>M167</f>
        <v>0</v>
      </c>
      <c r="N35" s="6"/>
      <c r="O35" s="6"/>
      <c r="P35" s="27"/>
      <c r="Q35" s="49">
        <v>8</v>
      </c>
      <c r="R35" s="33">
        <f t="shared" si="3"/>
        <v>42695</v>
      </c>
      <c r="S35" s="33">
        <f t="shared" si="3"/>
        <v>42706</v>
      </c>
      <c r="T35" s="33">
        <f t="shared" si="3"/>
        <v>42713</v>
      </c>
      <c r="U35" s="30">
        <f t="shared" si="1"/>
        <v>11.1</v>
      </c>
      <c r="V35" s="50"/>
      <c r="W35" s="50"/>
    </row>
    <row r="36" spans="2:23">
      <c r="B36" s="53"/>
      <c r="C36" s="54"/>
      <c r="D36" s="51"/>
      <c r="E36" s="51"/>
      <c r="F36" s="52" t="s">
        <v>25</v>
      </c>
      <c r="G36" s="51"/>
      <c r="H36" s="51"/>
      <c r="I36" s="72">
        <f>I173</f>
        <v>267000</v>
      </c>
      <c r="K36" s="6">
        <f>K173</f>
        <v>20583.333333333336</v>
      </c>
      <c r="L36" s="6">
        <f>L173</f>
        <v>13639.73</v>
      </c>
      <c r="M36" s="6">
        <f>M173</f>
        <v>6943.6033333333344</v>
      </c>
      <c r="N36" s="6"/>
      <c r="O36" s="6"/>
      <c r="P36" s="27"/>
      <c r="Q36" s="49">
        <v>9</v>
      </c>
      <c r="R36" s="33">
        <f t="shared" si="3"/>
        <v>42709</v>
      </c>
      <c r="S36" s="33">
        <f t="shared" si="3"/>
        <v>42720</v>
      </c>
      <c r="T36" s="33">
        <f t="shared" si="3"/>
        <v>42727</v>
      </c>
      <c r="U36" s="30">
        <f t="shared" si="1"/>
        <v>12.1</v>
      </c>
      <c r="V36" s="50"/>
      <c r="W36" s="50"/>
    </row>
    <row r="37" spans="2:23">
      <c r="B37" s="53"/>
      <c r="C37" s="54"/>
      <c r="D37" s="51"/>
      <c r="E37" s="51"/>
      <c r="F37" s="52" t="s">
        <v>26</v>
      </c>
      <c r="G37" s="51"/>
      <c r="H37" s="51"/>
      <c r="I37" s="72">
        <f>I186</f>
        <v>1410863</v>
      </c>
      <c r="K37" s="6">
        <f>K186</f>
        <v>87171.205769230772</v>
      </c>
      <c r="L37" s="6">
        <f>L186</f>
        <v>86624.11</v>
      </c>
      <c r="M37" s="6">
        <f>M186</f>
        <v>547.09576923077293</v>
      </c>
      <c r="N37" s="6"/>
      <c r="O37" s="6"/>
      <c r="P37" s="27"/>
      <c r="Q37" s="49">
        <v>10</v>
      </c>
      <c r="R37" s="33">
        <f t="shared" si="3"/>
        <v>42723</v>
      </c>
      <c r="S37" s="33">
        <f t="shared" si="3"/>
        <v>42734</v>
      </c>
      <c r="T37" s="33">
        <f t="shared" si="3"/>
        <v>42741</v>
      </c>
      <c r="U37" s="30">
        <f t="shared" si="1"/>
        <v>13.1</v>
      </c>
      <c r="V37" s="50"/>
      <c r="W37" s="50"/>
    </row>
    <row r="38" spans="2:23">
      <c r="B38" s="53"/>
      <c r="C38" s="54"/>
      <c r="D38" s="51"/>
      <c r="E38" s="51"/>
      <c r="F38" s="73" t="s">
        <v>27</v>
      </c>
      <c r="G38" s="51"/>
      <c r="H38" s="51"/>
      <c r="I38" s="72">
        <f>I191</f>
        <v>196806</v>
      </c>
      <c r="K38" s="6">
        <f>+K191</f>
        <v>4819.2833333333338</v>
      </c>
      <c r="L38" s="6">
        <f>+L191</f>
        <v>2645.58</v>
      </c>
      <c r="M38" s="6">
        <f>+M191</f>
        <v>2173.7033333333338</v>
      </c>
      <c r="N38" s="6"/>
      <c r="O38" s="6"/>
      <c r="P38" s="27"/>
      <c r="Q38" s="49">
        <v>11</v>
      </c>
      <c r="R38" s="33">
        <f t="shared" si="3"/>
        <v>42737</v>
      </c>
      <c r="S38" s="33">
        <f t="shared" si="3"/>
        <v>42748</v>
      </c>
      <c r="T38" s="33">
        <f t="shared" si="3"/>
        <v>42755</v>
      </c>
      <c r="U38" s="30">
        <f t="shared" si="1"/>
        <v>14.1</v>
      </c>
      <c r="V38" s="50"/>
      <c r="W38" s="50"/>
    </row>
    <row r="39" spans="2:23">
      <c r="B39" s="53"/>
      <c r="C39" s="54"/>
      <c r="D39" s="51"/>
      <c r="E39" s="51"/>
      <c r="F39" s="73" t="s">
        <v>28</v>
      </c>
      <c r="G39" s="51"/>
      <c r="H39" s="51"/>
      <c r="I39" s="72">
        <f>I197</f>
        <v>218207</v>
      </c>
      <c r="K39" s="6">
        <f>K197</f>
        <v>17350.583333333332</v>
      </c>
      <c r="L39" s="6">
        <f>L197</f>
        <v>12877.62</v>
      </c>
      <c r="M39" s="6">
        <f>M197</f>
        <v>4472.9633333333322</v>
      </c>
      <c r="N39" s="6"/>
      <c r="O39" s="6"/>
      <c r="P39" s="27"/>
      <c r="Q39" s="49">
        <v>12</v>
      </c>
      <c r="R39" s="33">
        <f t="shared" si="3"/>
        <v>42751</v>
      </c>
      <c r="S39" s="33">
        <f t="shared" si="3"/>
        <v>42762</v>
      </c>
      <c r="T39" s="33">
        <f t="shared" si="3"/>
        <v>42769</v>
      </c>
      <c r="U39" s="30">
        <f t="shared" si="1"/>
        <v>15.1</v>
      </c>
      <c r="V39" s="50"/>
      <c r="W39" s="50"/>
    </row>
    <row r="40" spans="2:23">
      <c r="B40" s="53"/>
      <c r="C40" s="54"/>
      <c r="D40" s="51"/>
      <c r="E40" s="53" t="s">
        <v>29</v>
      </c>
      <c r="F40" s="51"/>
      <c r="G40" s="51"/>
      <c r="H40" s="51"/>
      <c r="I40" s="56"/>
      <c r="K40" s="6"/>
      <c r="L40" s="6"/>
      <c r="M40" s="6"/>
      <c r="N40" s="6"/>
      <c r="O40" s="6"/>
      <c r="P40" s="27"/>
      <c r="Q40" s="49">
        <v>13</v>
      </c>
      <c r="R40" s="33">
        <f t="shared" si="3"/>
        <v>42765</v>
      </c>
      <c r="S40" s="33">
        <f t="shared" si="3"/>
        <v>42776</v>
      </c>
      <c r="T40" s="33">
        <f t="shared" si="3"/>
        <v>42783</v>
      </c>
      <c r="U40" s="30">
        <f t="shared" si="1"/>
        <v>16.100000000000001</v>
      </c>
      <c r="V40" s="50"/>
      <c r="W40" s="50"/>
    </row>
    <row r="41" spans="2:23">
      <c r="B41" s="53"/>
      <c r="C41" s="54"/>
      <c r="D41" s="51"/>
      <c r="E41" s="53"/>
      <c r="F41" s="52" t="s">
        <v>30</v>
      </c>
      <c r="G41" s="51"/>
      <c r="H41" s="51"/>
      <c r="I41" s="72">
        <f>I205</f>
        <v>124319</v>
      </c>
      <c r="K41" s="6">
        <f>K205</f>
        <v>0</v>
      </c>
      <c r="L41" s="6">
        <f>L205</f>
        <v>0</v>
      </c>
      <c r="M41" s="6">
        <f>M205</f>
        <v>0</v>
      </c>
      <c r="N41" s="6"/>
      <c r="O41" s="6"/>
      <c r="P41" s="27"/>
      <c r="Q41" s="49">
        <v>14</v>
      </c>
      <c r="R41" s="33">
        <f t="shared" si="3"/>
        <v>42779</v>
      </c>
      <c r="S41" s="33">
        <f t="shared" si="3"/>
        <v>42790</v>
      </c>
      <c r="T41" s="33">
        <f t="shared" si="3"/>
        <v>42797</v>
      </c>
      <c r="U41" s="30">
        <f t="shared" si="1"/>
        <v>17.100000000000001</v>
      </c>
      <c r="V41" s="50"/>
      <c r="W41" s="50"/>
    </row>
    <row r="42" spans="2:23">
      <c r="B42" s="53"/>
      <c r="C42" s="54"/>
      <c r="D42" s="51"/>
      <c r="E42" s="53"/>
      <c r="F42" s="52" t="s">
        <v>31</v>
      </c>
      <c r="G42" s="51"/>
      <c r="H42" s="51"/>
      <c r="I42" s="72">
        <f>I212</f>
        <v>79455</v>
      </c>
      <c r="K42" s="6">
        <f>K212</f>
        <v>1185.4333333333336</v>
      </c>
      <c r="L42" s="6">
        <f>L212</f>
        <v>2007.57</v>
      </c>
      <c r="M42" s="6">
        <f>M212</f>
        <v>-822.13666666666631</v>
      </c>
      <c r="N42" s="6"/>
      <c r="O42" s="6"/>
      <c r="P42" s="27"/>
      <c r="Q42" s="49">
        <v>15</v>
      </c>
      <c r="R42" s="33">
        <f>+R41+14</f>
        <v>42793</v>
      </c>
      <c r="S42" s="33">
        <f t="shared" si="3"/>
        <v>42804</v>
      </c>
      <c r="T42" s="33">
        <f t="shared" si="3"/>
        <v>42811</v>
      </c>
      <c r="U42" s="30">
        <f t="shared" si="1"/>
        <v>18.100000000000001</v>
      </c>
      <c r="V42" s="50"/>
      <c r="W42" s="50"/>
    </row>
    <row r="43" spans="2:23">
      <c r="B43" s="53"/>
      <c r="C43" s="54"/>
      <c r="D43" s="51"/>
      <c r="E43" s="53" t="s">
        <v>32</v>
      </c>
      <c r="F43" s="51"/>
      <c r="G43" s="51"/>
      <c r="H43" s="51"/>
      <c r="I43" s="72"/>
      <c r="K43" s="6"/>
      <c r="L43" s="6"/>
      <c r="M43" s="6"/>
      <c r="N43" s="6"/>
      <c r="O43" s="6"/>
      <c r="P43" s="27"/>
      <c r="Q43" s="49">
        <v>16</v>
      </c>
      <c r="R43" s="33">
        <f t="shared" si="3"/>
        <v>42807</v>
      </c>
      <c r="S43" s="33">
        <f t="shared" si="3"/>
        <v>42818</v>
      </c>
      <c r="T43" s="33">
        <f t="shared" si="3"/>
        <v>42825</v>
      </c>
      <c r="U43" s="30">
        <f t="shared" si="1"/>
        <v>19.100000000000001</v>
      </c>
      <c r="V43" s="50"/>
      <c r="W43" s="50"/>
    </row>
    <row r="44" spans="2:23">
      <c r="B44" s="53"/>
      <c r="C44" s="54"/>
      <c r="D44" s="51"/>
      <c r="E44" s="51"/>
      <c r="F44" s="51"/>
      <c r="G44" s="74" t="s">
        <v>33</v>
      </c>
      <c r="H44" s="51"/>
      <c r="I44" s="120">
        <f>SUM(I22:I43)+1</f>
        <v>12381894</v>
      </c>
      <c r="K44" s="7">
        <f>SUM(K22:K43)</f>
        <v>489154.11602564104</v>
      </c>
      <c r="L44" s="7">
        <f>SUM(L22:L43)</f>
        <v>427901.76</v>
      </c>
      <c r="M44" s="7">
        <f>SUM(M22:M43)</f>
        <v>61999.866794871814</v>
      </c>
      <c r="N44" s="6"/>
      <c r="O44" s="6"/>
      <c r="P44" s="27"/>
      <c r="Q44" s="49">
        <v>17</v>
      </c>
      <c r="R44" s="33">
        <f t="shared" si="3"/>
        <v>42821</v>
      </c>
      <c r="S44" s="33">
        <f t="shared" si="3"/>
        <v>42832</v>
      </c>
      <c r="T44" s="33">
        <f t="shared" si="3"/>
        <v>42839</v>
      </c>
      <c r="U44" s="30">
        <f t="shared" si="1"/>
        <v>20.100000000000001</v>
      </c>
      <c r="V44" s="50"/>
      <c r="W44" s="50"/>
    </row>
    <row r="45" spans="2:23">
      <c r="B45" s="53"/>
      <c r="C45" s="54"/>
      <c r="D45" s="51"/>
      <c r="E45" s="51"/>
      <c r="F45" s="51"/>
      <c r="G45" s="51"/>
      <c r="H45" s="51"/>
      <c r="I45" s="72"/>
      <c r="K45" s="6"/>
      <c r="L45" s="6"/>
      <c r="M45" s="6"/>
      <c r="N45" s="6"/>
      <c r="O45" s="6"/>
      <c r="P45" s="27"/>
      <c r="Q45" s="49">
        <v>18</v>
      </c>
      <c r="R45" s="33">
        <f t="shared" si="3"/>
        <v>42835</v>
      </c>
      <c r="S45" s="33">
        <f t="shared" si="3"/>
        <v>42846</v>
      </c>
      <c r="T45" s="33">
        <f t="shared" si="3"/>
        <v>42853</v>
      </c>
      <c r="U45" s="30">
        <f t="shared" si="1"/>
        <v>21.1</v>
      </c>
      <c r="V45" s="50"/>
      <c r="W45" s="50"/>
    </row>
    <row r="46" spans="2:23">
      <c r="B46" s="53"/>
      <c r="C46" s="54"/>
      <c r="D46" s="51"/>
      <c r="E46" s="53" t="s">
        <v>34</v>
      </c>
      <c r="F46" s="51"/>
      <c r="G46" s="51"/>
      <c r="H46" s="51"/>
      <c r="I46" s="20">
        <f>I18-I44</f>
        <v>41716</v>
      </c>
      <c r="K46" s="20">
        <f>K18-K44</f>
        <v>383810.96730769222</v>
      </c>
      <c r="L46" s="20">
        <f>L18-L44</f>
        <v>507292.39</v>
      </c>
      <c r="M46" s="20">
        <f>L46-K46</f>
        <v>123481.42269230779</v>
      </c>
      <c r="N46" s="6"/>
      <c r="O46" s="6"/>
      <c r="P46" s="27"/>
      <c r="Q46" s="49">
        <v>19</v>
      </c>
      <c r="R46" s="33">
        <f t="shared" ref="R46:T53" si="4">+R45+14</f>
        <v>42849</v>
      </c>
      <c r="S46" s="33">
        <f t="shared" si="4"/>
        <v>42860</v>
      </c>
      <c r="T46" s="33">
        <f t="shared" si="4"/>
        <v>42867</v>
      </c>
      <c r="U46" s="30">
        <f t="shared" si="1"/>
        <v>22.1</v>
      </c>
      <c r="V46" s="50"/>
      <c r="W46" s="50"/>
    </row>
    <row r="47" spans="2:23">
      <c r="B47" s="53"/>
      <c r="C47" s="75"/>
      <c r="D47" s="56"/>
      <c r="E47" s="56"/>
      <c r="F47" s="56"/>
      <c r="G47" s="56"/>
      <c r="H47" s="56"/>
      <c r="I47" s="58"/>
      <c r="K47" s="19"/>
      <c r="L47" s="19"/>
      <c r="M47" s="19"/>
      <c r="P47" s="27"/>
      <c r="Q47" s="49">
        <v>20</v>
      </c>
      <c r="R47" s="33">
        <f t="shared" si="4"/>
        <v>42863</v>
      </c>
      <c r="S47" s="33">
        <f t="shared" si="4"/>
        <v>42874</v>
      </c>
      <c r="T47" s="33">
        <f t="shared" si="4"/>
        <v>42881</v>
      </c>
      <c r="U47" s="30">
        <f t="shared" si="1"/>
        <v>23.1</v>
      </c>
      <c r="V47" s="50"/>
      <c r="W47" s="50"/>
    </row>
    <row r="48" spans="2:23">
      <c r="B48" s="55"/>
      <c r="C48" s="55" t="s">
        <v>35</v>
      </c>
      <c r="D48" s="55"/>
      <c r="E48" s="55"/>
      <c r="F48" s="55"/>
      <c r="G48" s="55"/>
      <c r="H48" s="56"/>
      <c r="I48" s="76"/>
      <c r="K48" s="19"/>
      <c r="L48" s="19"/>
      <c r="M48" s="19"/>
      <c r="P48" s="27"/>
      <c r="Q48" s="49">
        <v>21</v>
      </c>
      <c r="R48" s="33">
        <f t="shared" si="4"/>
        <v>42877</v>
      </c>
      <c r="S48" s="33">
        <f t="shared" si="4"/>
        <v>42888</v>
      </c>
      <c r="T48" s="33">
        <f t="shared" si="4"/>
        <v>42895</v>
      </c>
      <c r="U48" s="30">
        <f t="shared" si="1"/>
        <v>24.1</v>
      </c>
      <c r="V48" s="1" t="s">
        <v>110</v>
      </c>
      <c r="W48" s="50"/>
    </row>
    <row r="49" spans="1:25">
      <c r="B49" s="55"/>
      <c r="C49" s="75"/>
      <c r="D49" s="56"/>
      <c r="E49" s="55" t="s">
        <v>36</v>
      </c>
      <c r="F49" s="56"/>
      <c r="G49" s="56"/>
      <c r="H49" s="56"/>
      <c r="I49" s="6">
        <f>+I87+I97+I114+I118+I123+I127+I138+I150+I175+I188++I203+I146+I105+I132+I207</f>
        <v>5078659</v>
      </c>
      <c r="K49" s="6">
        <f>+K87+K97+K114+K118+K123+K127+K138+K150+K175+K188++K203+K146+K105+K132+K207</f>
        <v>69671.180769230778</v>
      </c>
      <c r="L49" s="6">
        <f>+L87+L97+L114+L118+L123+L127+L138+L150+L175+L188++L203+L146+L105+L132+L207</f>
        <v>58454.78</v>
      </c>
      <c r="M49" s="6">
        <f>+M87+M97+M114+M118+M123+M127+M138+M150+M175+M188++M203+M146+M105+M132+M207</f>
        <v>11216.400769230773</v>
      </c>
      <c r="N49" s="104"/>
      <c r="P49" s="27"/>
      <c r="Q49" s="49">
        <v>22</v>
      </c>
      <c r="R49" s="33">
        <f t="shared" si="4"/>
        <v>42891</v>
      </c>
      <c r="S49" s="33">
        <f t="shared" si="4"/>
        <v>42902</v>
      </c>
      <c r="T49" s="33">
        <f t="shared" si="4"/>
        <v>42909</v>
      </c>
      <c r="U49" s="30">
        <f t="shared" si="1"/>
        <v>25.1</v>
      </c>
      <c r="V49" s="50"/>
      <c r="W49" s="50"/>
    </row>
    <row r="50" spans="1:25">
      <c r="B50" s="55"/>
      <c r="C50" s="75"/>
      <c r="D50" s="56"/>
      <c r="E50" s="55" t="s">
        <v>37</v>
      </c>
      <c r="F50" s="56"/>
      <c r="G50" s="56"/>
      <c r="H50" s="56"/>
      <c r="I50" s="6">
        <f>+I88+I98+I115+I119+I124+I128+I139+I151+I176+I189+I204+I147+I106+I133+I208</f>
        <v>2386982</v>
      </c>
      <c r="K50" s="6">
        <f>+K88+K98+K115+K119+K124+K128+K139+K151+K176+K189+K204+K147+K106+K133+K208</f>
        <v>125793.60192307695</v>
      </c>
      <c r="L50" s="6">
        <f>+L88+L98+L115+L119+L124+L128+L139+L151+L176+L189+L204+L147+L106+L133+L208</f>
        <v>90836.44</v>
      </c>
      <c r="M50" s="6">
        <f>+M88+M98+M115+M119+M124+M128+M139+M151+M176+M189+M204+M147+M106+M133+M208</f>
        <v>35704.672692307708</v>
      </c>
      <c r="N50" s="104"/>
      <c r="P50" s="27"/>
      <c r="Q50" s="34">
        <v>23</v>
      </c>
      <c r="R50" s="35">
        <f t="shared" si="4"/>
        <v>42905</v>
      </c>
      <c r="S50" s="35">
        <f t="shared" si="4"/>
        <v>42916</v>
      </c>
      <c r="T50" s="35">
        <f t="shared" si="4"/>
        <v>42923</v>
      </c>
      <c r="U50" s="30">
        <v>26</v>
      </c>
      <c r="V50" s="36" t="s">
        <v>111</v>
      </c>
      <c r="W50" s="36"/>
    </row>
    <row r="51" spans="1:25">
      <c r="B51" s="55"/>
      <c r="C51" s="75"/>
      <c r="D51" s="56"/>
      <c r="E51" s="55" t="s">
        <v>38</v>
      </c>
      <c r="F51" s="56"/>
      <c r="G51" s="56"/>
      <c r="H51" s="56"/>
      <c r="I51" s="6">
        <f>+I89+I99+I100+I101+I120+I142+I143+I152+I153+I165+I169+I194+I134+I209</f>
        <v>2285712</v>
      </c>
      <c r="K51" s="6">
        <f>+K89+K99+K100+K101+K120+K142+K143+K152+K153+K165+K169+K194+K134+K209</f>
        <v>126344.33333333334</v>
      </c>
      <c r="L51" s="6">
        <f>+L89+L99+L100+L101+L120+L142+L143+L152+L153+L165+L169+L194+L134+L209</f>
        <v>106805.3</v>
      </c>
      <c r="M51" s="6">
        <f>+M89+M99+M100+M101+M120+M142+M143+M152+M153+M165+M169+M194+M134+M209</f>
        <v>19539.033333333336</v>
      </c>
      <c r="N51" s="104"/>
      <c r="P51" s="27"/>
      <c r="Q51" s="34">
        <v>24</v>
      </c>
      <c r="R51" s="35">
        <f t="shared" si="4"/>
        <v>42919</v>
      </c>
      <c r="S51" s="35">
        <f t="shared" si="4"/>
        <v>42930</v>
      </c>
      <c r="T51" s="35">
        <f t="shared" si="4"/>
        <v>42937</v>
      </c>
      <c r="U51" s="30"/>
      <c r="V51" s="50"/>
      <c r="W51" s="50"/>
    </row>
    <row r="52" spans="1:25">
      <c r="B52" s="55"/>
      <c r="C52" s="75"/>
      <c r="D52" s="56"/>
      <c r="E52" s="55" t="s">
        <v>26</v>
      </c>
      <c r="F52" s="56"/>
      <c r="G52" s="56"/>
      <c r="H52" s="56"/>
      <c r="I52" s="6">
        <f>+I179+I180+I181+I190</f>
        <v>731856</v>
      </c>
      <c r="K52" s="6">
        <f>+K179+K180+K181+K190</f>
        <v>58071.333333333343</v>
      </c>
      <c r="L52" s="6">
        <f>+L179+L180+L181+L190</f>
        <v>27852</v>
      </c>
      <c r="M52" s="6">
        <f>+M179+M180+M181+M190</f>
        <v>30219.333333333336</v>
      </c>
      <c r="N52" s="104"/>
      <c r="P52" s="27"/>
      <c r="Q52" s="34">
        <v>25</v>
      </c>
      <c r="R52" s="35">
        <f t="shared" si="4"/>
        <v>42933</v>
      </c>
      <c r="S52" s="35">
        <f t="shared" si="4"/>
        <v>42944</v>
      </c>
      <c r="T52" s="35">
        <f t="shared" si="4"/>
        <v>42951</v>
      </c>
      <c r="U52" s="30"/>
      <c r="V52" s="50"/>
      <c r="W52" s="50"/>
    </row>
    <row r="53" spans="1:25">
      <c r="B53" s="55"/>
      <c r="C53" s="75"/>
      <c r="D53" s="56"/>
      <c r="E53" s="55" t="s">
        <v>39</v>
      </c>
      <c r="F53" s="56"/>
      <c r="G53" s="56"/>
      <c r="H53" s="56"/>
      <c r="I53" s="6">
        <f>+I90+I135+I155+I156+I157+I158+I159+I171+I178+I195+I210+I170+I185</f>
        <v>460684</v>
      </c>
      <c r="K53" s="6">
        <f>+K90+K135+K155+K156+K157+K158+K159+K171+K178+K195+K210+K170+K185</f>
        <v>30107</v>
      </c>
      <c r="L53" s="6">
        <f>+L90+L135+L155+L156+L157+L158+L159+L171+L178+L195+L210+L170+L185</f>
        <v>64763.770000000004</v>
      </c>
      <c r="M53" s="6">
        <f>+M90+M135+M155+M156+M157+M158+M159+M171+M178+M195+M210+M170+M185</f>
        <v>-34656.769999999997</v>
      </c>
      <c r="N53" s="104"/>
      <c r="P53" s="27"/>
      <c r="Q53" s="34">
        <v>26</v>
      </c>
      <c r="R53" s="35">
        <f t="shared" si="4"/>
        <v>42947</v>
      </c>
      <c r="S53" s="35">
        <f>+S52+14</f>
        <v>42958</v>
      </c>
      <c r="T53" s="35">
        <f t="shared" si="4"/>
        <v>42965</v>
      </c>
      <c r="U53" s="30"/>
      <c r="V53" s="50"/>
      <c r="W53" s="50"/>
    </row>
    <row r="54" spans="1:25" ht="16.5" thickBot="1">
      <c r="B54" s="55"/>
      <c r="C54" s="75"/>
      <c r="D54" s="56"/>
      <c r="E54" s="55" t="s">
        <v>40</v>
      </c>
      <c r="F54" s="56"/>
      <c r="G54" s="56"/>
      <c r="H54" s="56"/>
      <c r="I54" s="6">
        <f>+I91+I92+I102+I129+I160+I161+I166+I172+I183+I196+I211+I107</f>
        <v>892000</v>
      </c>
      <c r="K54" s="6">
        <f>+K91+K92+K102+K129+K160+K161+K166+K172+K183+K196+K211+K107</f>
        <v>60000</v>
      </c>
      <c r="L54" s="6">
        <f>+L91+L92+L102+L129+L160+L161+L166+L172+L183+L196+L211+L107</f>
        <v>74237.13</v>
      </c>
      <c r="M54" s="6">
        <f>+M91+M92+M102+M129+M160+M161+M166+M172+M183+M196+M211+M107</f>
        <v>-14237.129999999992</v>
      </c>
      <c r="N54" s="104"/>
      <c r="P54" s="37"/>
      <c r="Q54" s="47"/>
      <c r="R54" s="48"/>
      <c r="S54" s="48"/>
      <c r="T54" s="48"/>
      <c r="U54" s="38"/>
      <c r="V54" s="50"/>
      <c r="W54" s="50"/>
    </row>
    <row r="55" spans="1:25">
      <c r="B55" s="55"/>
      <c r="C55" s="75"/>
      <c r="D55" s="56"/>
      <c r="E55" s="55" t="s">
        <v>41</v>
      </c>
      <c r="F55" s="56"/>
      <c r="G55" s="56"/>
      <c r="H55" s="56"/>
      <c r="I55" s="6">
        <f>+I93+I94+I162+I184</f>
        <v>246000</v>
      </c>
      <c r="K55" s="6">
        <f>+K93+K94+K162+K184</f>
        <v>19166.666666666668</v>
      </c>
      <c r="L55" s="6">
        <f>+L93+L94+L162+L184</f>
        <v>4952.34</v>
      </c>
      <c r="M55" s="6">
        <f>+M93+M94+M162+M184</f>
        <v>14214.326666666668</v>
      </c>
      <c r="N55" s="104"/>
      <c r="P55" s="50"/>
      <c r="Q55" s="49"/>
      <c r="R55" s="33"/>
      <c r="S55" s="33"/>
      <c r="T55" s="33"/>
      <c r="U55" s="50"/>
      <c r="V55" s="50"/>
      <c r="W55" s="50"/>
    </row>
    <row r="56" spans="1:25" hidden="1">
      <c r="B56" s="55"/>
      <c r="C56" s="75"/>
      <c r="D56" s="56"/>
      <c r="E56" s="53" t="s">
        <v>32</v>
      </c>
      <c r="F56" s="56"/>
      <c r="G56" s="56"/>
      <c r="H56" s="56"/>
      <c r="I56" s="22"/>
      <c r="Q56" s="28"/>
      <c r="R56" s="33"/>
      <c r="S56" s="33"/>
      <c r="T56" s="33"/>
    </row>
    <row r="57" spans="1:25" ht="15">
      <c r="B57" s="55"/>
      <c r="C57" s="75"/>
      <c r="D57" s="56"/>
      <c r="E57" s="55" t="s">
        <v>42</v>
      </c>
      <c r="F57" s="56"/>
      <c r="G57" s="56"/>
      <c r="H57" s="56"/>
      <c r="I57" s="6">
        <f t="shared" ref="I57:K57" si="5">+I182</f>
        <v>300000</v>
      </c>
      <c r="K57" s="6">
        <f t="shared" si="5"/>
        <v>0</v>
      </c>
      <c r="L57" s="6">
        <f t="shared" ref="L57:M57" si="6">+L182</f>
        <v>0</v>
      </c>
      <c r="M57" s="6">
        <f t="shared" si="6"/>
        <v>0</v>
      </c>
      <c r="N57" s="104"/>
      <c r="Q57"/>
      <c r="R57" s="33"/>
      <c r="S57" s="33"/>
      <c r="T57" s="33"/>
    </row>
    <row r="58" spans="1:25" ht="15">
      <c r="B58" s="53"/>
      <c r="C58" s="75"/>
      <c r="D58" s="56"/>
      <c r="E58" s="56"/>
      <c r="F58" s="56"/>
      <c r="G58" s="56"/>
      <c r="H58" s="56"/>
      <c r="I58" s="115">
        <f>SUM(I49:I57)+1</f>
        <v>12381894</v>
      </c>
      <c r="J58" s="113"/>
      <c r="K58" s="115">
        <f>SUM(K49:K57)</f>
        <v>489154.11602564115</v>
      </c>
      <c r="L58" s="115">
        <f>SUM(L49:L57)</f>
        <v>427901.76000000007</v>
      </c>
      <c r="M58" s="115">
        <f>SUM(M49:M57)</f>
        <v>61999.866794871821</v>
      </c>
      <c r="N58" s="104"/>
      <c r="Q58"/>
      <c r="R58" s="33"/>
      <c r="S58" s="33"/>
      <c r="T58" s="33"/>
    </row>
    <row r="59" spans="1:25" ht="15">
      <c r="B59" s="77"/>
      <c r="C59" s="77"/>
      <c r="D59" s="77"/>
      <c r="E59" s="77"/>
      <c r="F59" s="77"/>
      <c r="G59" s="77"/>
      <c r="H59" s="77"/>
      <c r="I59" s="78"/>
      <c r="K59" s="8"/>
      <c r="L59" s="8"/>
      <c r="M59" s="8"/>
      <c r="N59" s="105"/>
      <c r="Q59"/>
      <c r="R59" s="33"/>
      <c r="S59" s="33"/>
      <c r="T59" s="33"/>
    </row>
    <row r="60" spans="1:25" ht="15">
      <c r="A60" s="26">
        <v>1</v>
      </c>
      <c r="B60" s="2" t="s">
        <v>100</v>
      </c>
      <c r="C60" s="51"/>
      <c r="D60" s="51"/>
      <c r="E60" s="51"/>
      <c r="F60" s="51"/>
      <c r="G60" s="51"/>
      <c r="H60" s="51"/>
      <c r="I60" s="51"/>
      <c r="K60" s="51"/>
      <c r="L60" s="51"/>
      <c r="M60" s="51"/>
      <c r="N60" s="106"/>
      <c r="P60" s="46"/>
      <c r="Q60" s="46"/>
      <c r="R60" s="45"/>
      <c r="S60" s="45"/>
      <c r="T60" s="45"/>
      <c r="U60" s="46"/>
      <c r="V60" s="46"/>
      <c r="W60" s="46"/>
      <c r="X60" s="46"/>
      <c r="Y60" s="44"/>
    </row>
    <row r="61" spans="1:25" ht="15">
      <c r="A61" s="26">
        <f>+A60+1</f>
        <v>2</v>
      </c>
      <c r="B61" s="51"/>
      <c r="C61" s="51"/>
      <c r="D61" s="51"/>
      <c r="E61" s="51"/>
      <c r="F61" s="51"/>
      <c r="G61" s="51"/>
      <c r="H61" s="51"/>
      <c r="I61" s="79"/>
      <c r="P61" s="46"/>
      <c r="Q61" s="46"/>
      <c r="R61" s="45"/>
      <c r="S61" s="45"/>
      <c r="T61" s="45"/>
      <c r="U61" s="46"/>
      <c r="V61" s="46"/>
      <c r="W61" s="46"/>
      <c r="X61" s="46"/>
      <c r="Y61" s="44"/>
    </row>
    <row r="62" spans="1:25" ht="15">
      <c r="A62" s="26">
        <f t="shared" ref="A62:A123" si="7">+A61+1</f>
        <v>3</v>
      </c>
      <c r="B62" s="53" t="s">
        <v>5</v>
      </c>
      <c r="C62" s="51"/>
      <c r="D62" s="51"/>
      <c r="E62" s="51"/>
      <c r="F62" s="51"/>
      <c r="G62" s="51"/>
      <c r="H62" s="51"/>
      <c r="I62" s="81"/>
      <c r="P62" s="46"/>
      <c r="Q62" s="46"/>
      <c r="R62" s="45"/>
      <c r="S62" s="45"/>
      <c r="T62" s="45"/>
      <c r="U62" s="46"/>
      <c r="V62" s="46"/>
      <c r="W62" s="46"/>
      <c r="X62" s="46"/>
      <c r="Y62" s="44"/>
    </row>
    <row r="63" spans="1:25" ht="15">
      <c r="A63" s="26">
        <f t="shared" si="7"/>
        <v>4</v>
      </c>
      <c r="B63" s="53"/>
      <c r="C63" s="51"/>
      <c r="D63" s="51"/>
      <c r="E63" s="51"/>
      <c r="F63" s="51"/>
      <c r="G63" s="51"/>
      <c r="H63" s="51"/>
      <c r="I63" s="80"/>
      <c r="J63" s="8"/>
      <c r="P63" s="46"/>
      <c r="Q63" s="46"/>
      <c r="R63" s="45"/>
      <c r="S63" s="45"/>
      <c r="T63" s="45"/>
      <c r="U63" s="46"/>
      <c r="V63" s="46"/>
      <c r="W63" s="46"/>
      <c r="X63" s="46"/>
      <c r="Y63" s="44"/>
    </row>
    <row r="64" spans="1:25" ht="15">
      <c r="A64" s="26">
        <f t="shared" si="7"/>
        <v>5</v>
      </c>
      <c r="B64" s="53"/>
      <c r="C64" s="74" t="s">
        <v>6</v>
      </c>
      <c r="D64" s="51"/>
      <c r="E64" s="51"/>
      <c r="F64" s="51"/>
      <c r="G64" s="51"/>
      <c r="H64" s="51"/>
      <c r="I64" s="56"/>
      <c r="P64" s="46"/>
      <c r="Q64" s="46"/>
      <c r="R64" s="45"/>
      <c r="S64" s="45"/>
      <c r="T64" s="45"/>
      <c r="U64" s="46"/>
      <c r="V64" s="46"/>
      <c r="W64" s="46"/>
      <c r="X64" s="46"/>
      <c r="Y64" s="44"/>
    </row>
    <row r="65" spans="1:25" ht="15">
      <c r="A65" s="26">
        <f t="shared" si="7"/>
        <v>6</v>
      </c>
      <c r="B65" s="51"/>
      <c r="C65" s="51"/>
      <c r="D65" s="52" t="s">
        <v>13</v>
      </c>
      <c r="E65" s="51"/>
      <c r="F65" s="51"/>
      <c r="G65" s="51"/>
      <c r="H65" s="51"/>
      <c r="I65" s="87">
        <v>4972560</v>
      </c>
      <c r="K65" s="22">
        <f>I65/12*1</f>
        <v>414380</v>
      </c>
      <c r="L65" s="22">
        <v>456876.5</v>
      </c>
      <c r="M65" s="22">
        <f>L65-K65</f>
        <v>42496.5</v>
      </c>
      <c r="P65" s="46"/>
      <c r="Q65" s="46"/>
      <c r="R65" s="45"/>
      <c r="S65" s="45"/>
      <c r="T65" s="45"/>
      <c r="U65" s="46"/>
      <c r="V65" s="46"/>
      <c r="W65" s="46"/>
      <c r="X65" s="46"/>
      <c r="Y65" s="44"/>
    </row>
    <row r="66" spans="1:25" ht="15">
      <c r="A66" s="26">
        <f t="shared" si="7"/>
        <v>7</v>
      </c>
      <c r="B66" s="51"/>
      <c r="C66" s="51"/>
      <c r="D66" s="70" t="s">
        <v>43</v>
      </c>
      <c r="E66" s="51"/>
      <c r="F66" s="51"/>
      <c r="G66" s="51"/>
      <c r="H66" s="51"/>
      <c r="I66" s="80">
        <v>5503021</v>
      </c>
      <c r="K66" s="22">
        <f>I66/12*1</f>
        <v>458585.08333333331</v>
      </c>
      <c r="L66" s="22">
        <v>478317.65</v>
      </c>
      <c r="M66" s="22">
        <f>L66-K66</f>
        <v>19732.566666666709</v>
      </c>
      <c r="P66" s="46"/>
      <c r="Q66" s="46"/>
      <c r="R66" s="45"/>
      <c r="S66" s="45"/>
      <c r="T66" s="45"/>
      <c r="U66" s="46"/>
      <c r="V66" s="46"/>
      <c r="W66" s="46"/>
      <c r="X66" s="46"/>
      <c r="Y66" s="44"/>
    </row>
    <row r="67" spans="1:25" ht="15">
      <c r="A67" s="26">
        <f t="shared" si="7"/>
        <v>8</v>
      </c>
      <c r="B67" s="51"/>
      <c r="C67" s="51"/>
      <c r="D67" s="51"/>
      <c r="E67" s="51"/>
      <c r="F67" s="51"/>
      <c r="G67" s="51"/>
      <c r="H67" s="51"/>
      <c r="I67" s="108">
        <f>SUM(I65:I66)</f>
        <v>10475581</v>
      </c>
      <c r="K67" s="108">
        <f>SUM(K65:K66)</f>
        <v>872965.08333333326</v>
      </c>
      <c r="L67" s="108">
        <f>SUM(L65:L66)</f>
        <v>935194.15</v>
      </c>
      <c r="M67" s="108">
        <f>SUM(M65:M66)</f>
        <v>62229.066666666709</v>
      </c>
      <c r="P67" s="46"/>
      <c r="Q67" s="46"/>
      <c r="R67" s="45"/>
      <c r="S67" s="45"/>
      <c r="T67" s="45"/>
      <c r="U67" s="46"/>
      <c r="V67" s="46"/>
      <c r="W67" s="46"/>
      <c r="X67" s="46"/>
      <c r="Y67" s="44"/>
    </row>
    <row r="68" spans="1:25" ht="15">
      <c r="A68" s="26">
        <f t="shared" si="7"/>
        <v>9</v>
      </c>
      <c r="B68" s="53"/>
      <c r="C68" s="74" t="s">
        <v>7</v>
      </c>
      <c r="D68" s="51"/>
      <c r="E68" s="51"/>
      <c r="F68" s="51"/>
      <c r="G68" s="51"/>
      <c r="H68" s="51"/>
      <c r="I68" s="80"/>
      <c r="P68" s="46"/>
      <c r="Q68" s="46"/>
      <c r="R68" s="45"/>
      <c r="S68" s="45"/>
      <c r="T68" s="45"/>
      <c r="U68" s="46"/>
      <c r="V68" s="46"/>
      <c r="W68" s="46"/>
      <c r="X68" s="46"/>
      <c r="Y68" s="44"/>
    </row>
    <row r="69" spans="1:25" ht="15">
      <c r="A69" s="26">
        <f t="shared" si="7"/>
        <v>10</v>
      </c>
      <c r="B69" s="53"/>
      <c r="C69" s="51"/>
      <c r="D69" s="52" t="s">
        <v>44</v>
      </c>
      <c r="E69" s="51"/>
      <c r="F69" s="51"/>
      <c r="G69" s="51"/>
      <c r="H69" s="51"/>
      <c r="I69" s="82">
        <v>270238</v>
      </c>
      <c r="M69" s="22">
        <f t="shared" ref="M69:M70" si="8">L69-K69</f>
        <v>0</v>
      </c>
      <c r="P69" s="46"/>
      <c r="Q69" s="46"/>
      <c r="R69" s="45"/>
      <c r="S69" s="45"/>
      <c r="T69" s="45"/>
      <c r="U69" s="46"/>
      <c r="V69" s="46"/>
      <c r="W69" s="46"/>
      <c r="X69" s="46"/>
      <c r="Y69" s="44"/>
    </row>
    <row r="70" spans="1:25" ht="15">
      <c r="A70" s="26">
        <f t="shared" si="7"/>
        <v>11</v>
      </c>
      <c r="B70" s="53"/>
      <c r="C70" s="51"/>
      <c r="D70" s="52" t="s">
        <v>45</v>
      </c>
      <c r="E70" s="51"/>
      <c r="F70" s="51"/>
      <c r="G70" s="51"/>
      <c r="H70" s="51"/>
      <c r="I70" s="83">
        <v>1126</v>
      </c>
      <c r="M70" s="22">
        <f t="shared" si="8"/>
        <v>0</v>
      </c>
      <c r="P70" s="46"/>
      <c r="Q70" s="46"/>
      <c r="R70" s="45"/>
      <c r="S70" s="45"/>
      <c r="T70" s="45"/>
      <c r="U70" s="46"/>
      <c r="V70" s="46"/>
      <c r="W70" s="46"/>
      <c r="X70" s="46"/>
      <c r="Y70" s="44"/>
    </row>
    <row r="71" spans="1:25" ht="15">
      <c r="A71" s="26">
        <f t="shared" si="7"/>
        <v>12</v>
      </c>
      <c r="B71" s="53"/>
      <c r="C71" s="51"/>
      <c r="D71" s="51"/>
      <c r="E71" s="51"/>
      <c r="F71" s="51"/>
      <c r="G71" s="51"/>
      <c r="H71" s="51"/>
      <c r="I71" s="109">
        <f>SUM(I69:I70)</f>
        <v>271364</v>
      </c>
      <c r="K71" s="111">
        <f>SUM(K69:K70)</f>
        <v>0</v>
      </c>
      <c r="L71" s="111">
        <f t="shared" ref="L71:M71" si="9">SUM(L69:L70)</f>
        <v>0</v>
      </c>
      <c r="M71" s="111">
        <f t="shared" si="9"/>
        <v>0</v>
      </c>
      <c r="P71" s="46"/>
      <c r="Q71" s="46"/>
      <c r="R71" s="45"/>
      <c r="S71" s="45"/>
      <c r="T71" s="45"/>
      <c r="U71" s="46"/>
      <c r="V71" s="46"/>
      <c r="W71" s="46"/>
      <c r="X71" s="46"/>
      <c r="Y71" s="44"/>
    </row>
    <row r="72" spans="1:25" ht="15">
      <c r="A72" s="26">
        <f t="shared" si="7"/>
        <v>13</v>
      </c>
      <c r="B72" s="53"/>
      <c r="C72" s="53" t="s">
        <v>46</v>
      </c>
      <c r="D72" s="51"/>
      <c r="E72" s="51"/>
      <c r="F72" s="51"/>
      <c r="G72" s="51"/>
      <c r="H72" s="51"/>
      <c r="I72" s="80"/>
      <c r="P72" s="46"/>
      <c r="Q72" s="46"/>
      <c r="R72" s="45"/>
      <c r="S72" s="45"/>
      <c r="T72" s="45"/>
      <c r="U72" s="46"/>
      <c r="V72" s="46"/>
      <c r="W72" s="46"/>
      <c r="X72" s="46"/>
      <c r="Y72" s="44"/>
    </row>
    <row r="73" spans="1:25" ht="15">
      <c r="A73" s="26">
        <f t="shared" si="7"/>
        <v>14</v>
      </c>
      <c r="B73" s="53"/>
      <c r="C73" s="53"/>
      <c r="D73" s="52" t="s">
        <v>47</v>
      </c>
      <c r="E73" s="51"/>
      <c r="F73" s="51"/>
      <c r="G73" s="51"/>
      <c r="H73" s="51"/>
      <c r="I73" s="71">
        <v>16523</v>
      </c>
      <c r="K73" s="22">
        <f>I73/12*0</f>
        <v>0</v>
      </c>
      <c r="L73" s="22">
        <v>0</v>
      </c>
      <c r="M73" s="22">
        <f t="shared" ref="M73:M74" si="10">L73-K73</f>
        <v>0</v>
      </c>
      <c r="P73" s="46"/>
      <c r="Q73" s="46"/>
      <c r="R73" s="45"/>
      <c r="S73" s="45"/>
      <c r="T73" s="45"/>
      <c r="U73" s="46"/>
      <c r="V73" s="46"/>
      <c r="W73" s="46"/>
      <c r="X73" s="46"/>
      <c r="Y73" s="44"/>
    </row>
    <row r="74" spans="1:25" ht="15">
      <c r="A74" s="26">
        <f t="shared" si="7"/>
        <v>15</v>
      </c>
      <c r="B74" s="53"/>
      <c r="C74" s="53"/>
      <c r="D74" s="52" t="s">
        <v>116</v>
      </c>
      <c r="E74" s="51"/>
      <c r="F74" s="51"/>
      <c r="G74" s="51"/>
      <c r="H74" s="51"/>
      <c r="I74" s="71">
        <v>0</v>
      </c>
      <c r="M74" s="22">
        <f t="shared" si="10"/>
        <v>0</v>
      </c>
      <c r="P74" s="46"/>
      <c r="Q74" s="46"/>
      <c r="R74" s="45"/>
      <c r="S74" s="45"/>
      <c r="T74" s="45"/>
      <c r="U74" s="46"/>
      <c r="V74" s="46"/>
      <c r="W74" s="46"/>
      <c r="X74" s="46"/>
      <c r="Y74" s="44"/>
    </row>
    <row r="75" spans="1:25" ht="15">
      <c r="A75" s="26">
        <f t="shared" si="7"/>
        <v>16</v>
      </c>
      <c r="B75" s="53"/>
      <c r="C75" s="51"/>
      <c r="D75" s="51"/>
      <c r="E75" s="51"/>
      <c r="F75" s="51"/>
      <c r="G75" s="51"/>
      <c r="H75" s="51"/>
      <c r="I75" s="110">
        <f>SUM(I73:I74)</f>
        <v>16523</v>
      </c>
      <c r="K75" s="118">
        <f>SUM(K73:K74)</f>
        <v>0</v>
      </c>
      <c r="L75" s="118">
        <f>SUM(L73:L74)</f>
        <v>0</v>
      </c>
      <c r="M75" s="118">
        <f>SUM(M73:M74)</f>
        <v>0</v>
      </c>
      <c r="P75" s="46"/>
      <c r="Q75" s="46"/>
      <c r="R75" s="45"/>
      <c r="S75" s="45"/>
      <c r="T75" s="45"/>
      <c r="U75" s="46"/>
      <c r="V75" s="46"/>
      <c r="W75" s="46"/>
      <c r="X75" s="46"/>
      <c r="Y75" s="44"/>
    </row>
    <row r="76" spans="1:25" ht="15">
      <c r="A76" s="26">
        <f t="shared" si="7"/>
        <v>17</v>
      </c>
      <c r="B76" s="53"/>
      <c r="C76" s="53" t="s">
        <v>9</v>
      </c>
      <c r="D76" s="51"/>
      <c r="E76" s="51"/>
      <c r="F76" s="51"/>
      <c r="G76" s="51"/>
      <c r="H76" s="51"/>
      <c r="I76" s="80"/>
      <c r="K76" s="40"/>
      <c r="L76" s="40"/>
      <c r="M76" s="40"/>
      <c r="P76" s="46"/>
      <c r="Q76" s="46"/>
      <c r="R76" s="45"/>
      <c r="S76" s="45"/>
      <c r="T76" s="45"/>
      <c r="U76" s="46"/>
      <c r="V76" s="46"/>
      <c r="W76" s="46"/>
      <c r="X76" s="46"/>
      <c r="Y76" s="44"/>
    </row>
    <row r="77" spans="1:25" ht="15">
      <c r="A77" s="26">
        <f t="shared" si="7"/>
        <v>18</v>
      </c>
      <c r="B77" s="53"/>
      <c r="C77" s="51"/>
      <c r="D77" s="52" t="s">
        <v>48</v>
      </c>
      <c r="E77" s="51"/>
      <c r="F77" s="51"/>
      <c r="G77" s="51"/>
      <c r="H77" s="51"/>
      <c r="I77" s="87">
        <v>657938</v>
      </c>
      <c r="L77" s="40"/>
      <c r="M77" s="40">
        <f t="shared" ref="M77:M79" si="11">L77-K77</f>
        <v>0</v>
      </c>
      <c r="P77" s="46"/>
      <c r="Q77" s="46"/>
      <c r="R77" s="93"/>
      <c r="S77" s="93"/>
      <c r="T77" s="93"/>
      <c r="U77" s="46"/>
      <c r="V77" s="46"/>
      <c r="W77" s="46"/>
      <c r="X77" s="46"/>
      <c r="Y77" s="44"/>
    </row>
    <row r="78" spans="1:25" ht="15">
      <c r="A78" s="26">
        <f t="shared" si="7"/>
        <v>19</v>
      </c>
      <c r="B78" s="53"/>
      <c r="C78" s="51"/>
      <c r="D78" s="52" t="s">
        <v>117</v>
      </c>
      <c r="E78" s="51"/>
      <c r="F78" s="51"/>
      <c r="G78" s="51"/>
      <c r="H78" s="51"/>
      <c r="I78" s="87">
        <v>890004</v>
      </c>
      <c r="L78" s="40"/>
      <c r="M78" s="40">
        <f t="shared" si="11"/>
        <v>0</v>
      </c>
      <c r="P78" s="46"/>
      <c r="Q78" s="46"/>
      <c r="R78" s="45"/>
      <c r="S78" s="45"/>
      <c r="T78" s="45"/>
      <c r="U78" s="46"/>
      <c r="V78" s="46"/>
      <c r="W78" s="46"/>
      <c r="X78" s="46"/>
      <c r="Y78" s="44"/>
    </row>
    <row r="79" spans="1:25" ht="15">
      <c r="A79" s="26">
        <f t="shared" si="7"/>
        <v>20</v>
      </c>
      <c r="B79" s="53"/>
      <c r="C79" s="51"/>
      <c r="D79" s="52" t="s">
        <v>49</v>
      </c>
      <c r="E79" s="51"/>
      <c r="F79" s="51"/>
      <c r="G79" s="51"/>
      <c r="H79" s="51"/>
      <c r="I79" s="87">
        <v>112200</v>
      </c>
      <c r="M79" s="22">
        <f t="shared" si="11"/>
        <v>0</v>
      </c>
      <c r="P79" s="46"/>
      <c r="Q79" s="46"/>
      <c r="R79" s="45"/>
      <c r="S79" s="45"/>
      <c r="T79" s="45"/>
      <c r="U79" s="46"/>
      <c r="V79" s="46"/>
      <c r="W79" s="46"/>
      <c r="X79" s="46"/>
      <c r="Y79" s="44"/>
    </row>
    <row r="80" spans="1:25" ht="15">
      <c r="A80" s="26">
        <f t="shared" si="7"/>
        <v>21</v>
      </c>
      <c r="B80" s="53"/>
      <c r="C80" s="51"/>
      <c r="D80" s="51"/>
      <c r="E80" s="51"/>
      <c r="F80" s="51"/>
      <c r="G80" s="51"/>
      <c r="H80" s="51"/>
      <c r="I80" s="108">
        <f>SUM(I77:I79)</f>
        <v>1660142</v>
      </c>
      <c r="K80" s="108">
        <f>SUM(K77:K79)</f>
        <v>0</v>
      </c>
      <c r="L80" s="108">
        <f>SUM(L77:L79)</f>
        <v>0</v>
      </c>
      <c r="M80" s="108">
        <f>SUM(M77:M79)</f>
        <v>0</v>
      </c>
      <c r="P80" s="46"/>
      <c r="Q80" s="46"/>
      <c r="R80" s="45"/>
      <c r="S80" s="45"/>
      <c r="T80" s="45"/>
      <c r="U80" s="46"/>
      <c r="V80" s="46"/>
      <c r="W80" s="46"/>
      <c r="X80" s="46"/>
      <c r="Y80" s="44"/>
    </row>
    <row r="81" spans="1:25" ht="15">
      <c r="A81" s="26">
        <f t="shared" si="7"/>
        <v>22</v>
      </c>
      <c r="B81" s="53"/>
      <c r="C81" s="51"/>
      <c r="D81" s="51"/>
      <c r="E81" s="51"/>
      <c r="F81" s="51"/>
      <c r="G81" s="51"/>
      <c r="H81" s="51"/>
      <c r="I81" s="82"/>
      <c r="P81" s="46"/>
      <c r="Q81" s="46"/>
      <c r="R81" s="45"/>
      <c r="S81" s="45"/>
      <c r="T81" s="45"/>
      <c r="U81" s="46"/>
      <c r="V81" s="46"/>
      <c r="W81" s="46"/>
      <c r="X81" s="46"/>
      <c r="Y81" s="44"/>
    </row>
    <row r="82" spans="1:25" ht="15">
      <c r="A82" s="26">
        <f t="shared" si="7"/>
        <v>23</v>
      </c>
      <c r="B82" s="53"/>
      <c r="C82" s="53" t="s">
        <v>50</v>
      </c>
      <c r="D82" s="51"/>
      <c r="E82" s="51"/>
      <c r="F82" s="51"/>
      <c r="G82" s="51"/>
      <c r="H82" s="51"/>
      <c r="I82" s="10">
        <f>+I80+I75+I71+I67</f>
        <v>12423610</v>
      </c>
      <c r="K82" s="10">
        <f>+K80+K75+K71+K67</f>
        <v>872965.08333333326</v>
      </c>
      <c r="L82" s="10">
        <f>+L80+L75+L71+L67</f>
        <v>935194.15</v>
      </c>
      <c r="M82" s="10">
        <f>+M80+M75+M71+M67</f>
        <v>62229.066666666709</v>
      </c>
      <c r="P82" s="46"/>
      <c r="Q82" s="46"/>
      <c r="R82" s="45"/>
      <c r="S82" s="45"/>
      <c r="T82" s="45"/>
      <c r="U82" s="46"/>
      <c r="V82" s="46"/>
      <c r="W82" s="46"/>
      <c r="X82" s="46"/>
      <c r="Y82" s="44"/>
    </row>
    <row r="83" spans="1:25" ht="15">
      <c r="A83" s="26">
        <f t="shared" si="7"/>
        <v>24</v>
      </c>
      <c r="B83" s="53"/>
      <c r="C83" s="51"/>
      <c r="D83" s="51"/>
      <c r="E83" s="51"/>
      <c r="F83" s="51"/>
      <c r="G83" s="51"/>
      <c r="H83" s="51"/>
      <c r="I83" s="82"/>
      <c r="P83" s="46"/>
      <c r="Q83" s="46"/>
      <c r="R83" s="45"/>
      <c r="S83" s="45"/>
      <c r="T83" s="45"/>
      <c r="U83" s="46"/>
      <c r="V83" s="46"/>
      <c r="W83" s="46"/>
      <c r="X83" s="46"/>
      <c r="Y83" s="44"/>
    </row>
    <row r="84" spans="1:25" ht="15">
      <c r="A84" s="26">
        <f t="shared" si="7"/>
        <v>25</v>
      </c>
      <c r="B84" s="53" t="s">
        <v>11</v>
      </c>
      <c r="C84" s="51"/>
      <c r="D84" s="51"/>
      <c r="E84" s="51"/>
      <c r="F84" s="51"/>
      <c r="G84" s="51"/>
      <c r="H84" s="51"/>
      <c r="I84" s="82"/>
      <c r="P84" s="46"/>
      <c r="Q84" s="46"/>
      <c r="R84" s="45"/>
      <c r="S84" s="45"/>
      <c r="T84" s="45"/>
      <c r="U84" s="46"/>
      <c r="V84" s="46"/>
      <c r="W84" s="46"/>
      <c r="X84" s="46"/>
      <c r="Y84" s="44"/>
    </row>
    <row r="85" spans="1:25" ht="15">
      <c r="A85" s="26">
        <f t="shared" si="7"/>
        <v>26</v>
      </c>
      <c r="B85" s="53"/>
      <c r="C85" s="53" t="s">
        <v>12</v>
      </c>
      <c r="D85" s="51"/>
      <c r="E85" s="51"/>
      <c r="F85" s="51"/>
      <c r="G85" s="51"/>
      <c r="H85" s="51"/>
      <c r="I85" s="82"/>
      <c r="P85" s="46"/>
      <c r="Q85" s="46"/>
      <c r="R85" s="45"/>
      <c r="S85" s="45"/>
      <c r="T85" s="45"/>
      <c r="U85" s="46"/>
      <c r="V85" s="46"/>
      <c r="W85" s="46"/>
      <c r="X85" s="46"/>
      <c r="Y85" s="44"/>
    </row>
    <row r="86" spans="1:25" ht="15">
      <c r="A86" s="26">
        <f t="shared" si="7"/>
        <v>27</v>
      </c>
      <c r="B86" s="51"/>
      <c r="C86" s="51"/>
      <c r="D86" s="53" t="s">
        <v>13</v>
      </c>
      <c r="E86" s="53"/>
      <c r="F86" s="51"/>
      <c r="G86" s="51"/>
      <c r="H86" s="51"/>
      <c r="I86" s="82"/>
      <c r="P86" s="46"/>
      <c r="Q86" s="46"/>
      <c r="R86" s="45"/>
      <c r="S86" s="45"/>
      <c r="T86" s="45"/>
      <c r="U86" s="46"/>
      <c r="V86" s="46"/>
      <c r="W86" s="46"/>
      <c r="X86" s="46"/>
      <c r="Y86" s="44"/>
    </row>
    <row r="87" spans="1:25" ht="15">
      <c r="A87" s="26">
        <f t="shared" si="7"/>
        <v>28</v>
      </c>
      <c r="D87" s="51"/>
      <c r="E87" s="52" t="s">
        <v>36</v>
      </c>
      <c r="F87" s="51"/>
      <c r="G87" s="51"/>
      <c r="H87" s="51"/>
      <c r="I87" s="82">
        <v>2906356</v>
      </c>
      <c r="L87" s="40"/>
      <c r="M87" s="22">
        <f>K87-L87</f>
        <v>0</v>
      </c>
      <c r="P87" s="46"/>
      <c r="Q87" s="46"/>
      <c r="R87" s="46"/>
      <c r="S87" s="46"/>
      <c r="T87" s="46"/>
      <c r="U87" s="46"/>
      <c r="V87" s="46"/>
      <c r="W87" s="46"/>
      <c r="X87" s="46"/>
      <c r="Y87" s="44"/>
    </row>
    <row r="88" spans="1:25" ht="15">
      <c r="A88" s="26">
        <f t="shared" si="7"/>
        <v>29</v>
      </c>
      <c r="D88" s="51"/>
      <c r="E88" s="52" t="s">
        <v>51</v>
      </c>
      <c r="F88" s="51"/>
      <c r="G88" s="51"/>
      <c r="H88" s="51"/>
      <c r="I88" s="82">
        <v>1287687</v>
      </c>
      <c r="K88" s="22">
        <f>I88/26*1.1</f>
        <v>54479.065384615387</v>
      </c>
      <c r="L88" s="40">
        <f>36971.56-824.18</f>
        <v>36147.379999999997</v>
      </c>
      <c r="M88" s="22">
        <f t="shared" ref="M88:M94" si="12">K88-L88</f>
        <v>18331.68538461539</v>
      </c>
      <c r="P88" s="46"/>
      <c r="Q88" s="94"/>
      <c r="R88" s="46"/>
      <c r="S88" s="46"/>
      <c r="T88" s="46"/>
      <c r="U88" s="46"/>
      <c r="V88" s="46"/>
      <c r="W88" s="46"/>
      <c r="X88" s="46"/>
      <c r="Y88" s="44"/>
    </row>
    <row r="89" spans="1:25" ht="15">
      <c r="A89" s="26">
        <f t="shared" si="7"/>
        <v>30</v>
      </c>
      <c r="D89" s="51"/>
      <c r="E89" s="52" t="s">
        <v>52</v>
      </c>
      <c r="F89" s="51"/>
      <c r="G89" s="51"/>
      <c r="H89" s="51"/>
      <c r="I89" s="82">
        <v>294580</v>
      </c>
      <c r="L89" s="40"/>
      <c r="M89" s="22">
        <f t="shared" si="12"/>
        <v>0</v>
      </c>
      <c r="P89" s="46"/>
      <c r="Q89" s="94"/>
      <c r="R89" s="46"/>
      <c r="S89" s="46"/>
      <c r="T89" s="46"/>
      <c r="U89" s="46"/>
      <c r="V89" s="46"/>
      <c r="W89" s="46"/>
      <c r="X89" s="46"/>
      <c r="Y89" s="44"/>
    </row>
    <row r="90" spans="1:25" ht="15">
      <c r="A90" s="26">
        <f t="shared" si="7"/>
        <v>31</v>
      </c>
      <c r="D90" s="51"/>
      <c r="E90" s="52" t="s">
        <v>39</v>
      </c>
      <c r="F90" s="51"/>
      <c r="G90" s="51"/>
      <c r="H90" s="51"/>
      <c r="I90" s="82">
        <v>69400</v>
      </c>
      <c r="L90" s="40"/>
      <c r="M90" s="22">
        <f t="shared" si="12"/>
        <v>0</v>
      </c>
      <c r="P90" s="46"/>
      <c r="Q90" s="94"/>
      <c r="R90" s="46"/>
      <c r="S90" s="46"/>
      <c r="T90" s="46"/>
      <c r="U90" s="46"/>
      <c r="V90" s="46"/>
      <c r="W90" s="46"/>
      <c r="X90" s="46"/>
      <c r="Y90" s="44"/>
    </row>
    <row r="91" spans="1:25" ht="15">
      <c r="A91" s="26">
        <f t="shared" si="7"/>
        <v>32</v>
      </c>
      <c r="D91" s="51"/>
      <c r="E91" s="70" t="s">
        <v>53</v>
      </c>
      <c r="F91" s="51"/>
      <c r="G91" s="51"/>
      <c r="H91" s="51"/>
      <c r="I91" s="82">
        <v>400000</v>
      </c>
      <c r="K91" s="22">
        <f t="shared" ref="K91:K94" si="13">I91/12*1</f>
        <v>33333.333333333336</v>
      </c>
      <c r="L91" s="22">
        <f>1823.23</f>
        <v>1823.23</v>
      </c>
      <c r="M91" s="22">
        <f t="shared" si="12"/>
        <v>31510.103333333336</v>
      </c>
      <c r="P91" s="46"/>
      <c r="Q91" s="94"/>
      <c r="R91" s="46"/>
      <c r="S91" s="3"/>
      <c r="T91" s="46"/>
      <c r="U91" s="46"/>
      <c r="V91" s="46"/>
      <c r="W91" s="46"/>
      <c r="X91" s="46"/>
      <c r="Y91" s="44"/>
    </row>
    <row r="92" spans="1:25" ht="15">
      <c r="A92" s="26">
        <f t="shared" si="7"/>
        <v>33</v>
      </c>
      <c r="D92" s="51"/>
      <c r="E92" s="73" t="s">
        <v>54</v>
      </c>
      <c r="F92" s="51"/>
      <c r="G92" s="51"/>
      <c r="H92" s="51"/>
      <c r="I92" s="82">
        <v>200000</v>
      </c>
      <c r="K92" s="22">
        <f t="shared" si="13"/>
        <v>16666.666666666668</v>
      </c>
      <c r="L92" s="22">
        <f>28253+31573</f>
        <v>59826</v>
      </c>
      <c r="M92" s="22">
        <f t="shared" si="12"/>
        <v>-43159.333333333328</v>
      </c>
      <c r="N92" s="103"/>
      <c r="P92" s="46"/>
      <c r="Q92" s="94"/>
      <c r="R92" s="46"/>
      <c r="S92" s="3"/>
      <c r="T92" s="46"/>
      <c r="U92" s="46"/>
      <c r="V92" s="46"/>
      <c r="W92" s="46"/>
      <c r="X92" s="46"/>
      <c r="Y92" s="44"/>
    </row>
    <row r="93" spans="1:25" ht="15">
      <c r="A93" s="26">
        <f t="shared" si="7"/>
        <v>34</v>
      </c>
      <c r="D93" s="51"/>
      <c r="E93" s="73" t="s">
        <v>55</v>
      </c>
      <c r="F93" s="51"/>
      <c r="G93" s="51"/>
      <c r="H93" s="51"/>
      <c r="I93" s="82">
        <v>130000</v>
      </c>
      <c r="K93" s="22">
        <f t="shared" si="13"/>
        <v>10833.333333333334</v>
      </c>
      <c r="L93" s="40">
        <v>252</v>
      </c>
      <c r="M93" s="22">
        <f t="shared" si="12"/>
        <v>10581.333333333334</v>
      </c>
      <c r="O93" s="98"/>
      <c r="P93" s="46"/>
      <c r="Q93" s="94"/>
      <c r="R93" s="46"/>
      <c r="S93" s="46"/>
      <c r="T93" s="46"/>
      <c r="U93" s="46"/>
      <c r="V93" s="46"/>
      <c r="W93" s="46"/>
      <c r="X93" s="46"/>
      <c r="Y93" s="44"/>
    </row>
    <row r="94" spans="1:25" ht="15">
      <c r="A94" s="26">
        <f t="shared" si="7"/>
        <v>35</v>
      </c>
      <c r="D94" s="51"/>
      <c r="E94" s="73" t="s">
        <v>118</v>
      </c>
      <c r="F94" s="51"/>
      <c r="G94" s="51"/>
      <c r="H94" s="51"/>
      <c r="I94" s="83">
        <v>100000</v>
      </c>
      <c r="K94" s="22">
        <f t="shared" si="13"/>
        <v>8333.3333333333339</v>
      </c>
      <c r="L94" s="40">
        <v>4700.34</v>
      </c>
      <c r="M94" s="22">
        <f t="shared" si="12"/>
        <v>3632.9933333333338</v>
      </c>
      <c r="P94" s="46"/>
      <c r="Q94" s="94"/>
      <c r="R94" s="95"/>
      <c r="S94" s="95"/>
      <c r="T94" s="95"/>
      <c r="U94" s="46"/>
      <c r="V94" s="46"/>
      <c r="W94" s="46"/>
      <c r="X94" s="46"/>
      <c r="Y94" s="44"/>
    </row>
    <row r="95" spans="1:25">
      <c r="A95" s="26">
        <f t="shared" si="7"/>
        <v>36</v>
      </c>
      <c r="D95" s="51"/>
      <c r="E95" s="51"/>
      <c r="F95" s="51"/>
      <c r="G95" s="51"/>
      <c r="H95" s="51"/>
      <c r="I95" s="112">
        <f>SUM(I87:I94)</f>
        <v>5388023</v>
      </c>
      <c r="K95" s="112">
        <f>SUM(K87:K94)</f>
        <v>123645.73205128206</v>
      </c>
      <c r="L95" s="112">
        <f>SUM(L87:L94)</f>
        <v>102748.95</v>
      </c>
      <c r="M95" s="112">
        <f>SUM(M87:M94)</f>
        <v>20896.782051282069</v>
      </c>
      <c r="P95" s="46"/>
      <c r="Q95" s="96"/>
      <c r="R95" s="95"/>
      <c r="S95" s="95"/>
      <c r="T95" s="95"/>
      <c r="U95" s="46"/>
      <c r="V95" s="46"/>
      <c r="W95" s="46"/>
      <c r="X95" s="46"/>
      <c r="Y95" s="44"/>
    </row>
    <row r="96" spans="1:25">
      <c r="A96" s="26">
        <f t="shared" si="7"/>
        <v>37</v>
      </c>
      <c r="D96" s="53" t="s">
        <v>14</v>
      </c>
      <c r="E96" s="53"/>
      <c r="F96" s="51"/>
      <c r="G96" s="51"/>
      <c r="H96" s="51"/>
      <c r="I96" s="82"/>
      <c r="P96" s="46"/>
      <c r="Q96" s="97"/>
      <c r="R96" s="95"/>
      <c r="S96" s="95"/>
      <c r="T96" s="95"/>
      <c r="U96" s="46"/>
      <c r="V96" s="46"/>
      <c r="W96" s="46"/>
      <c r="X96" s="46"/>
      <c r="Y96" s="44"/>
    </row>
    <row r="97" spans="1:25">
      <c r="A97" s="26">
        <f t="shared" si="7"/>
        <v>38</v>
      </c>
      <c r="D97" s="53"/>
      <c r="E97" s="52" t="s">
        <v>36</v>
      </c>
      <c r="F97" s="51"/>
      <c r="G97" s="51"/>
      <c r="H97" s="51"/>
      <c r="I97" s="82">
        <v>757496</v>
      </c>
      <c r="K97" s="22">
        <f>((I97-82400)/26*0)+(82400/26*2)</f>
        <v>6338.4615384615381</v>
      </c>
      <c r="L97" s="22">
        <f>7772.32</f>
        <v>7772.32</v>
      </c>
      <c r="M97" s="22">
        <f t="shared" ref="M97:M102" si="14">K97-L97</f>
        <v>-1433.8584615384616</v>
      </c>
      <c r="P97" s="46"/>
      <c r="Q97" s="96"/>
      <c r="R97" s="95"/>
      <c r="S97" s="95"/>
      <c r="T97" s="95"/>
      <c r="U97" s="46"/>
      <c r="V97" s="46"/>
      <c r="W97" s="46"/>
      <c r="X97" s="46"/>
      <c r="Y97" s="44"/>
    </row>
    <row r="98" spans="1:25">
      <c r="A98" s="26">
        <f t="shared" si="7"/>
        <v>39</v>
      </c>
      <c r="D98" s="53"/>
      <c r="E98" s="52" t="s">
        <v>51</v>
      </c>
      <c r="F98" s="51"/>
      <c r="G98" s="51"/>
      <c r="H98" s="51"/>
      <c r="I98" s="82">
        <v>411380</v>
      </c>
      <c r="K98" s="22">
        <f>((I98-60510)/26*1)+(60510/26*2)</f>
        <v>18149.615384615383</v>
      </c>
      <c r="L98" s="22">
        <f>12653.77</f>
        <v>12653.77</v>
      </c>
      <c r="M98" s="22">
        <f t="shared" si="14"/>
        <v>5495.8453846153825</v>
      </c>
      <c r="P98" s="46"/>
      <c r="Q98" s="97"/>
      <c r="R98" s="95"/>
      <c r="S98" s="95"/>
      <c r="T98" s="95"/>
      <c r="U98" s="46"/>
      <c r="V98" s="46"/>
      <c r="W98" s="46"/>
      <c r="X98" s="46"/>
      <c r="Y98" s="44"/>
    </row>
    <row r="99" spans="1:25">
      <c r="A99" s="26">
        <f t="shared" si="7"/>
        <v>40</v>
      </c>
      <c r="D99" s="53"/>
      <c r="E99" s="52" t="s">
        <v>56</v>
      </c>
      <c r="F99" s="51"/>
      <c r="G99" s="51"/>
      <c r="H99" s="51"/>
      <c r="I99" s="82">
        <v>150000</v>
      </c>
      <c r="M99" s="22">
        <f t="shared" si="14"/>
        <v>0</v>
      </c>
      <c r="P99" s="46"/>
      <c r="Q99" s="97"/>
      <c r="R99" s="95"/>
      <c r="S99" s="95"/>
      <c r="T99" s="95"/>
      <c r="U99" s="46"/>
      <c r="V99" s="46"/>
      <c r="W99" s="46"/>
      <c r="X99" s="46"/>
      <c r="Y99" s="44"/>
    </row>
    <row r="100" spans="1:25">
      <c r="A100" s="26">
        <f t="shared" si="7"/>
        <v>41</v>
      </c>
      <c r="D100" s="53"/>
      <c r="E100" s="52" t="s">
        <v>57</v>
      </c>
      <c r="F100" s="51"/>
      <c r="G100" s="51"/>
      <c r="H100" s="51"/>
      <c r="I100" s="71">
        <v>10000</v>
      </c>
      <c r="M100" s="22">
        <f t="shared" si="14"/>
        <v>0</v>
      </c>
      <c r="P100" s="46"/>
      <c r="Q100" s="97"/>
      <c r="R100" s="95"/>
      <c r="S100" s="95"/>
      <c r="T100" s="95"/>
      <c r="U100" s="46"/>
      <c r="V100" s="46"/>
      <c r="W100" s="46"/>
      <c r="X100" s="46"/>
      <c r="Y100" s="44"/>
    </row>
    <row r="101" spans="1:25">
      <c r="A101" s="26">
        <f t="shared" si="7"/>
        <v>42</v>
      </c>
      <c r="D101" s="51"/>
      <c r="E101" s="52" t="s">
        <v>38</v>
      </c>
      <c r="F101" s="51"/>
      <c r="G101" s="51"/>
      <c r="H101" s="51"/>
      <c r="I101" s="82">
        <v>150000</v>
      </c>
      <c r="M101" s="22">
        <f t="shared" si="14"/>
        <v>0</v>
      </c>
      <c r="P101" s="46"/>
      <c r="Q101" s="97"/>
      <c r="R101" s="95"/>
      <c r="S101" s="95"/>
      <c r="T101" s="95"/>
      <c r="U101" s="46"/>
      <c r="V101" s="46"/>
      <c r="W101" s="46"/>
      <c r="X101" s="46"/>
      <c r="Y101" s="44"/>
    </row>
    <row r="102" spans="1:25">
      <c r="A102" s="26">
        <f t="shared" si="7"/>
        <v>43</v>
      </c>
      <c r="D102" s="51"/>
      <c r="E102" s="70" t="s">
        <v>40</v>
      </c>
      <c r="F102" s="51"/>
      <c r="G102" s="51"/>
      <c r="H102" s="51"/>
      <c r="I102" s="82">
        <v>25000</v>
      </c>
      <c r="M102" s="22">
        <f t="shared" si="14"/>
        <v>0</v>
      </c>
      <c r="P102" s="46"/>
      <c r="Q102" s="97"/>
      <c r="R102" s="95"/>
      <c r="S102" s="95"/>
      <c r="T102" s="95"/>
      <c r="U102" s="46"/>
      <c r="V102" s="46"/>
      <c r="W102" s="46"/>
      <c r="X102" s="46"/>
      <c r="Y102" s="44"/>
    </row>
    <row r="103" spans="1:25">
      <c r="A103" s="26">
        <f t="shared" si="7"/>
        <v>44</v>
      </c>
      <c r="C103" s="51"/>
      <c r="D103" s="51"/>
      <c r="E103" s="51"/>
      <c r="F103" s="51"/>
      <c r="G103" s="51"/>
      <c r="H103" s="51"/>
      <c r="I103" s="11">
        <f>SUM(I97:I102)</f>
        <v>1503876</v>
      </c>
      <c r="K103" s="11">
        <f>SUM(K97:K102)</f>
        <v>24488.076923076922</v>
      </c>
      <c r="L103" s="11">
        <f>SUM(L97:L102)</f>
        <v>20426.09</v>
      </c>
      <c r="M103" s="11">
        <f>SUM(M97:M102)</f>
        <v>4061.9869230769209</v>
      </c>
      <c r="P103" s="46"/>
      <c r="Q103" s="97"/>
      <c r="R103" s="95"/>
      <c r="S103" s="95"/>
      <c r="T103" s="95"/>
      <c r="U103" s="46"/>
      <c r="V103" s="99"/>
      <c r="W103" s="46"/>
      <c r="X103" s="46"/>
      <c r="Y103" s="44"/>
    </row>
    <row r="104" spans="1:25">
      <c r="A104" s="26">
        <f t="shared" si="7"/>
        <v>45</v>
      </c>
      <c r="C104" s="51"/>
      <c r="D104" s="53" t="s">
        <v>113</v>
      </c>
      <c r="E104" s="53"/>
      <c r="F104" s="51"/>
      <c r="G104" s="51"/>
      <c r="H104" s="51"/>
      <c r="I104" s="82"/>
      <c r="P104" s="46"/>
      <c r="Q104" s="97"/>
      <c r="R104" s="95"/>
      <c r="S104" s="95"/>
      <c r="T104" s="95"/>
      <c r="U104" s="46"/>
      <c r="V104" s="99"/>
      <c r="W104" s="46"/>
      <c r="X104" s="46"/>
      <c r="Y104" s="44"/>
    </row>
    <row r="105" spans="1:25">
      <c r="A105" s="26">
        <f t="shared" si="7"/>
        <v>46</v>
      </c>
      <c r="C105" s="51"/>
      <c r="D105" s="53"/>
      <c r="E105" s="52" t="s">
        <v>36</v>
      </c>
      <c r="F105" s="51"/>
      <c r="G105" s="51"/>
      <c r="H105" s="51"/>
      <c r="I105" s="82">
        <v>45000</v>
      </c>
      <c r="K105" s="22">
        <f>+I105/2</f>
        <v>22500</v>
      </c>
      <c r="L105" s="22">
        <f>20085+2018.75+1000</f>
        <v>23103.75</v>
      </c>
      <c r="M105" s="22">
        <f t="shared" ref="M105:M107" si="15">K105-L105</f>
        <v>-603.75</v>
      </c>
      <c r="P105" s="46"/>
      <c r="Q105" s="97"/>
      <c r="R105" s="95"/>
      <c r="S105" s="95"/>
      <c r="T105" s="95"/>
      <c r="U105" s="46"/>
      <c r="V105" s="99"/>
      <c r="W105" s="46"/>
      <c r="X105" s="46"/>
      <c r="Y105" s="44"/>
    </row>
    <row r="106" spans="1:25">
      <c r="A106" s="26">
        <f t="shared" si="7"/>
        <v>47</v>
      </c>
      <c r="C106" s="51"/>
      <c r="D106" s="53"/>
      <c r="E106" s="52" t="s">
        <v>51</v>
      </c>
      <c r="F106" s="51"/>
      <c r="G106" s="51"/>
      <c r="H106" s="51"/>
      <c r="I106" s="82">
        <v>16957</v>
      </c>
      <c r="K106" s="22">
        <f>+I106/2</f>
        <v>8478.5</v>
      </c>
      <c r="L106" s="22">
        <f>5061.25+297.98+334.9</f>
        <v>5694.1299999999992</v>
      </c>
      <c r="M106" s="22">
        <f t="shared" si="15"/>
        <v>2784.3700000000008</v>
      </c>
      <c r="P106" s="46"/>
      <c r="Q106" s="97"/>
      <c r="R106" s="95"/>
      <c r="S106" s="99"/>
      <c r="T106" s="100"/>
      <c r="U106" s="46"/>
      <c r="V106" s="99"/>
      <c r="W106" s="46"/>
      <c r="X106" s="46"/>
      <c r="Y106" s="44"/>
    </row>
    <row r="107" spans="1:25">
      <c r="A107" s="26">
        <f t="shared" si="7"/>
        <v>48</v>
      </c>
      <c r="C107" s="51"/>
      <c r="D107" s="51"/>
      <c r="E107" s="70" t="s">
        <v>40</v>
      </c>
      <c r="F107" s="51"/>
      <c r="G107" s="51"/>
      <c r="H107" s="51"/>
      <c r="I107" s="82">
        <v>12000</v>
      </c>
      <c r="M107" s="22">
        <f t="shared" si="15"/>
        <v>0</v>
      </c>
      <c r="P107" s="46"/>
      <c r="Q107" s="97"/>
      <c r="R107" s="95"/>
      <c r="S107" s="99"/>
      <c r="T107" s="95"/>
      <c r="U107" s="46"/>
      <c r="V107" s="99"/>
      <c r="W107" s="46"/>
      <c r="X107" s="46"/>
      <c r="Y107" s="44"/>
    </row>
    <row r="108" spans="1:25">
      <c r="A108" s="26">
        <f t="shared" si="7"/>
        <v>49</v>
      </c>
      <c r="C108" s="51"/>
      <c r="D108" s="51"/>
      <c r="E108" s="51"/>
      <c r="F108" s="51"/>
      <c r="G108" s="51"/>
      <c r="H108" s="51"/>
      <c r="I108" s="11">
        <f>SUM(I105:I107)</f>
        <v>73957</v>
      </c>
      <c r="J108" s="113"/>
      <c r="K108" s="11">
        <f>SUM(K105:K107)</f>
        <v>30978.5</v>
      </c>
      <c r="L108" s="11">
        <f>SUM(L105:L107)</f>
        <v>28797.879999999997</v>
      </c>
      <c r="M108" s="11">
        <f>SUM(M105:M107)</f>
        <v>2180.6200000000008</v>
      </c>
      <c r="P108" s="46"/>
      <c r="Q108" s="97"/>
      <c r="R108" s="95"/>
      <c r="S108" s="99"/>
      <c r="T108" s="95"/>
      <c r="U108" s="46"/>
      <c r="V108" s="99"/>
      <c r="W108" s="46"/>
      <c r="X108" s="46"/>
      <c r="Y108" s="44"/>
    </row>
    <row r="109" spans="1:25">
      <c r="A109" s="26">
        <f t="shared" si="7"/>
        <v>50</v>
      </c>
      <c r="C109" s="51"/>
      <c r="D109" s="51"/>
      <c r="E109" s="51"/>
      <c r="F109" s="51"/>
      <c r="G109" s="51"/>
      <c r="H109" s="51"/>
      <c r="I109" s="84"/>
      <c r="P109" s="46"/>
      <c r="Q109" s="97"/>
      <c r="R109" s="95"/>
      <c r="S109" s="99"/>
      <c r="T109" s="95"/>
      <c r="U109" s="46"/>
      <c r="V109" s="99"/>
      <c r="W109" s="46"/>
      <c r="X109" s="46"/>
      <c r="Y109" s="44"/>
    </row>
    <row r="110" spans="1:25">
      <c r="A110" s="26">
        <f t="shared" si="7"/>
        <v>51</v>
      </c>
      <c r="C110" s="51"/>
      <c r="D110" s="51"/>
      <c r="E110" s="51"/>
      <c r="F110" s="53" t="s">
        <v>58</v>
      </c>
      <c r="G110" s="51"/>
      <c r="H110" s="51"/>
      <c r="I110" s="10">
        <f>+I103+I95+I108</f>
        <v>6965856</v>
      </c>
      <c r="K110" s="10">
        <f>+K103+K95+K108</f>
        <v>179112.30897435898</v>
      </c>
      <c r="L110" s="10">
        <f>+L103+L95+L108</f>
        <v>151972.91999999998</v>
      </c>
      <c r="M110" s="10">
        <f>+M103+M95+M108</f>
        <v>27139.38897435899</v>
      </c>
      <c r="P110" s="46"/>
      <c r="Q110" s="97"/>
      <c r="R110" s="95"/>
      <c r="S110" s="99"/>
      <c r="T110" s="95"/>
      <c r="U110" s="46"/>
      <c r="V110" s="101"/>
      <c r="W110" s="46"/>
      <c r="X110" s="46"/>
      <c r="Y110" s="44"/>
    </row>
    <row r="111" spans="1:25">
      <c r="A111" s="26">
        <f t="shared" si="7"/>
        <v>52</v>
      </c>
      <c r="C111" s="51"/>
      <c r="D111" s="51"/>
      <c r="E111" s="51"/>
      <c r="F111" s="53"/>
      <c r="G111" s="51"/>
      <c r="H111" s="51"/>
      <c r="I111" s="83"/>
      <c r="P111" s="46"/>
      <c r="Q111" s="97"/>
      <c r="R111" s="95"/>
      <c r="S111" s="99"/>
      <c r="T111" s="95"/>
      <c r="U111" s="46"/>
      <c r="V111" s="95"/>
      <c r="W111" s="46"/>
      <c r="X111" s="46"/>
      <c r="Y111" s="44"/>
    </row>
    <row r="112" spans="1:25">
      <c r="A112" s="26">
        <f t="shared" si="7"/>
        <v>53</v>
      </c>
      <c r="C112" s="53" t="s">
        <v>15</v>
      </c>
      <c r="D112" s="51"/>
      <c r="E112" s="51"/>
      <c r="F112" s="53"/>
      <c r="G112" s="51"/>
      <c r="H112" s="51"/>
      <c r="I112" s="82"/>
      <c r="P112" s="46"/>
      <c r="Q112" s="97"/>
      <c r="R112" s="95"/>
      <c r="S112" s="99"/>
      <c r="T112" s="95"/>
      <c r="U112" s="46"/>
      <c r="V112" s="102"/>
      <c r="W112" s="100"/>
      <c r="X112" s="46"/>
      <c r="Y112" s="44"/>
    </row>
    <row r="113" spans="1:25">
      <c r="A113" s="26">
        <f t="shared" si="7"/>
        <v>54</v>
      </c>
      <c r="C113" s="53"/>
      <c r="D113" s="53" t="s">
        <v>59</v>
      </c>
      <c r="E113" s="51"/>
      <c r="F113" s="53"/>
      <c r="G113" s="51"/>
      <c r="H113" s="51"/>
      <c r="I113" s="83"/>
      <c r="P113" s="46"/>
      <c r="Q113" s="97"/>
      <c r="R113" s="95"/>
      <c r="S113" s="99"/>
      <c r="T113" s="95"/>
      <c r="U113" s="46"/>
      <c r="V113" s="46"/>
      <c r="W113" s="46"/>
      <c r="X113" s="46"/>
      <c r="Y113" s="44"/>
    </row>
    <row r="114" spans="1:25">
      <c r="A114" s="26">
        <f t="shared" si="7"/>
        <v>55</v>
      </c>
      <c r="C114" s="53"/>
      <c r="D114" s="53"/>
      <c r="E114" s="52" t="s">
        <v>36</v>
      </c>
      <c r="F114" s="53"/>
      <c r="G114" s="51"/>
      <c r="H114" s="51"/>
      <c r="I114" s="83">
        <v>315676</v>
      </c>
      <c r="K114" s="22">
        <f>I114/26*1.1</f>
        <v>13355.523076923078</v>
      </c>
      <c r="L114" s="22">
        <f>1846.15</f>
        <v>1846.15</v>
      </c>
      <c r="M114" s="22">
        <f t="shared" ref="M114:M115" si="16">K114-L114</f>
        <v>11509.373076923079</v>
      </c>
      <c r="P114" s="46"/>
      <c r="Q114" s="97"/>
      <c r="R114" s="95"/>
      <c r="S114" s="101"/>
      <c r="T114" s="95"/>
      <c r="U114" s="46"/>
      <c r="V114" s="46"/>
      <c r="W114" s="46"/>
      <c r="X114" s="46"/>
      <c r="Y114" s="44"/>
    </row>
    <row r="115" spans="1:25">
      <c r="A115" s="26">
        <f t="shared" si="7"/>
        <v>56</v>
      </c>
      <c r="C115" s="53"/>
      <c r="D115" s="53"/>
      <c r="E115" s="52" t="s">
        <v>51</v>
      </c>
      <c r="F115" s="53"/>
      <c r="G115" s="51"/>
      <c r="H115" s="51"/>
      <c r="I115" s="83">
        <v>153854</v>
      </c>
      <c r="K115" s="22">
        <f>I115/26*1.1</f>
        <v>6509.207692307692</v>
      </c>
      <c r="L115" s="22">
        <f>5462.49</f>
        <v>5462.49</v>
      </c>
      <c r="M115" s="22">
        <f t="shared" si="16"/>
        <v>1046.7176923076922</v>
      </c>
      <c r="P115" s="46"/>
      <c r="Q115" s="97"/>
      <c r="R115" s="95"/>
      <c r="S115" s="95"/>
      <c r="T115" s="95"/>
      <c r="U115" s="46"/>
      <c r="V115" s="46"/>
      <c r="W115" s="46"/>
      <c r="X115" s="46"/>
      <c r="Y115" s="44"/>
    </row>
    <row r="116" spans="1:25">
      <c r="A116" s="26">
        <f t="shared" si="7"/>
        <v>57</v>
      </c>
      <c r="C116" s="53"/>
      <c r="D116" s="51"/>
      <c r="E116" s="51"/>
      <c r="F116" s="53"/>
      <c r="G116" s="51"/>
      <c r="H116" s="51"/>
      <c r="I116" s="108">
        <f>SUM(I114:I115)</f>
        <v>469530</v>
      </c>
      <c r="J116" s="113"/>
      <c r="K116" s="108">
        <f>SUM(K114:K115)</f>
        <v>19864.73076923077</v>
      </c>
      <c r="L116" s="108">
        <f>SUM(L114:L115)</f>
        <v>7308.6399999999994</v>
      </c>
      <c r="M116" s="108">
        <f>SUM(M114:M115)</f>
        <v>12556.09076923077</v>
      </c>
      <c r="P116" s="46"/>
      <c r="Q116" s="97"/>
      <c r="R116" s="95"/>
      <c r="S116" s="102"/>
      <c r="T116" s="95"/>
      <c r="U116" s="46"/>
      <c r="V116" s="46"/>
      <c r="W116" s="46"/>
      <c r="X116" s="46"/>
      <c r="Y116" s="44"/>
    </row>
    <row r="117" spans="1:25">
      <c r="A117" s="26">
        <f t="shared" si="7"/>
        <v>58</v>
      </c>
      <c r="C117" s="51"/>
      <c r="D117" s="55" t="s">
        <v>17</v>
      </c>
      <c r="E117" s="51"/>
      <c r="F117" s="51"/>
      <c r="G117" s="51"/>
      <c r="H117" s="51"/>
      <c r="I117" s="58"/>
      <c r="P117" s="46"/>
      <c r="Q117" s="97"/>
    </row>
    <row r="118" spans="1:25">
      <c r="C118" s="51"/>
      <c r="D118" s="55"/>
      <c r="E118" s="52" t="s">
        <v>36</v>
      </c>
      <c r="F118" s="53"/>
      <c r="G118" s="51"/>
      <c r="H118" s="51"/>
      <c r="I118" s="83">
        <v>60000</v>
      </c>
      <c r="K118" s="22">
        <f>I118/26*1.1</f>
        <v>2538.4615384615386</v>
      </c>
      <c r="L118" s="22">
        <f>2538.47</f>
        <v>2538.4699999999998</v>
      </c>
      <c r="M118" s="22">
        <f t="shared" ref="M118:M120" si="17">K118-L118</f>
        <v>-8.461538461233431E-3</v>
      </c>
      <c r="P118" s="46"/>
      <c r="Q118" s="97"/>
      <c r="U118" s="50"/>
      <c r="V118" s="50"/>
      <c r="W118" s="50"/>
      <c r="X118" s="50"/>
    </row>
    <row r="119" spans="1:25">
      <c r="C119" s="51"/>
      <c r="D119" s="55"/>
      <c r="E119" s="52" t="s">
        <v>51</v>
      </c>
      <c r="F119" s="53"/>
      <c r="G119" s="51"/>
      <c r="H119" s="51"/>
      <c r="I119" s="83">
        <v>17741</v>
      </c>
      <c r="K119" s="22">
        <f>I119/26*1.1</f>
        <v>750.58076923076931</v>
      </c>
      <c r="L119" s="22">
        <f>1846.13</f>
        <v>1846.13</v>
      </c>
      <c r="M119" s="22">
        <f t="shared" si="17"/>
        <v>-1095.5492307692307</v>
      </c>
      <c r="P119" s="46"/>
      <c r="Q119" s="97"/>
      <c r="U119" s="50"/>
      <c r="V119" s="50"/>
      <c r="W119" s="50"/>
      <c r="X119" s="50"/>
    </row>
    <row r="120" spans="1:25">
      <c r="A120" s="26">
        <f>+A117+1</f>
        <v>59</v>
      </c>
      <c r="C120" s="51"/>
      <c r="D120" s="56"/>
      <c r="E120" s="52" t="s">
        <v>38</v>
      </c>
      <c r="F120" s="51"/>
      <c r="G120" s="51"/>
      <c r="H120" s="51"/>
      <c r="I120" s="83">
        <v>30000</v>
      </c>
      <c r="K120" s="22">
        <f>I120/12*1</f>
        <v>2500</v>
      </c>
      <c r="L120" s="22">
        <f>850</f>
        <v>850</v>
      </c>
      <c r="M120" s="22">
        <f t="shared" si="17"/>
        <v>1650</v>
      </c>
    </row>
    <row r="121" spans="1:25">
      <c r="A121" s="26">
        <f t="shared" si="7"/>
        <v>60</v>
      </c>
      <c r="C121" s="51"/>
      <c r="D121" s="56"/>
      <c r="E121" s="51"/>
      <c r="F121" s="51"/>
      <c r="G121" s="51"/>
      <c r="H121" s="51"/>
      <c r="I121" s="90">
        <f>SUM(I118:I120)</f>
        <v>107741</v>
      </c>
      <c r="J121" s="113"/>
      <c r="K121" s="90">
        <f t="shared" ref="K121:M121" si="18">SUM(K118:K120)</f>
        <v>5789.042307692308</v>
      </c>
      <c r="L121" s="90">
        <f t="shared" si="18"/>
        <v>5234.6000000000004</v>
      </c>
      <c r="M121" s="90">
        <f t="shared" si="18"/>
        <v>554.44230769230808</v>
      </c>
    </row>
    <row r="122" spans="1:25">
      <c r="A122" s="26">
        <f t="shared" si="7"/>
        <v>61</v>
      </c>
      <c r="C122" s="51"/>
      <c r="D122" s="53" t="s">
        <v>18</v>
      </c>
      <c r="E122" s="51"/>
      <c r="F122" s="53"/>
      <c r="G122" s="51"/>
      <c r="H122" s="51"/>
      <c r="I122" s="83"/>
    </row>
    <row r="123" spans="1:25">
      <c r="A123" s="26">
        <f t="shared" si="7"/>
        <v>62</v>
      </c>
      <c r="C123" s="51"/>
      <c r="D123" s="53"/>
      <c r="E123" s="52" t="s">
        <v>36</v>
      </c>
      <c r="F123" s="53"/>
      <c r="G123" s="51"/>
      <c r="H123" s="51"/>
      <c r="I123" s="83">
        <v>73205</v>
      </c>
      <c r="M123" s="22">
        <f t="shared" ref="M123:M124" si="19">K123-L123</f>
        <v>0</v>
      </c>
    </row>
    <row r="124" spans="1:25">
      <c r="A124" s="26">
        <f t="shared" ref="A124:A182" si="20">+A123+1</f>
        <v>63</v>
      </c>
      <c r="C124" s="53"/>
      <c r="D124" s="53"/>
      <c r="E124" s="52" t="s">
        <v>51</v>
      </c>
      <c r="F124" s="53"/>
      <c r="G124" s="51"/>
      <c r="H124" s="51"/>
      <c r="I124" s="83">
        <v>37919</v>
      </c>
      <c r="K124" s="22">
        <f>I124/26*1.1</f>
        <v>1604.2653846153846</v>
      </c>
      <c r="L124" s="22">
        <v>2019.82</v>
      </c>
      <c r="M124" s="22">
        <f t="shared" si="19"/>
        <v>-415.55461538461532</v>
      </c>
    </row>
    <row r="125" spans="1:25">
      <c r="A125" s="26">
        <f t="shared" si="20"/>
        <v>64</v>
      </c>
      <c r="C125" s="53"/>
      <c r="D125" s="51"/>
      <c r="E125" s="51"/>
      <c r="F125" s="53"/>
      <c r="G125" s="51"/>
      <c r="H125" s="51"/>
      <c r="I125" s="108">
        <f>SUM(I123:I124)</f>
        <v>111124</v>
      </c>
      <c r="J125" s="113"/>
      <c r="K125" s="108">
        <f>SUM(K123:K124)</f>
        <v>1604.2653846153846</v>
      </c>
      <c r="L125" s="108">
        <f>SUM(L123:L124)</f>
        <v>2019.82</v>
      </c>
      <c r="M125" s="108">
        <f>SUM(M123:M124)</f>
        <v>-415.55461538461532</v>
      </c>
    </row>
    <row r="126" spans="1:25">
      <c r="A126" s="26">
        <f t="shared" si="20"/>
        <v>65</v>
      </c>
      <c r="C126" s="53"/>
      <c r="D126" s="53" t="s">
        <v>19</v>
      </c>
      <c r="E126" s="53"/>
      <c r="F126" s="51"/>
      <c r="G126" s="51"/>
      <c r="H126" s="51"/>
      <c r="I126" s="82"/>
    </row>
    <row r="127" spans="1:25">
      <c r="A127" s="26">
        <f t="shared" si="20"/>
        <v>66</v>
      </c>
      <c r="C127" s="53"/>
      <c r="D127" s="53"/>
      <c r="E127" s="52" t="s">
        <v>36</v>
      </c>
      <c r="F127" s="51"/>
      <c r="G127" s="51"/>
      <c r="H127" s="51"/>
      <c r="I127" s="82">
        <v>30900</v>
      </c>
      <c r="M127" s="22">
        <f t="shared" ref="M127:M128" si="21">L127-K127</f>
        <v>0</v>
      </c>
    </row>
    <row r="128" spans="1:25">
      <c r="A128" s="26">
        <f t="shared" si="20"/>
        <v>67</v>
      </c>
      <c r="C128" s="51"/>
      <c r="D128" s="53"/>
      <c r="E128" s="52" t="s">
        <v>51</v>
      </c>
      <c r="F128" s="51"/>
      <c r="G128" s="51"/>
      <c r="H128" s="51"/>
      <c r="I128" s="82">
        <v>21387</v>
      </c>
      <c r="K128" s="22">
        <f>I128/26*1.1</f>
        <v>904.83461538461552</v>
      </c>
      <c r="L128" s="22">
        <v>1278.5899999999999</v>
      </c>
      <c r="M128" s="22">
        <f t="shared" si="21"/>
        <v>373.7553846153844</v>
      </c>
    </row>
    <row r="129" spans="1:13">
      <c r="A129" s="26">
        <f t="shared" si="20"/>
        <v>68</v>
      </c>
      <c r="C129" s="51"/>
      <c r="D129" s="51"/>
      <c r="E129" s="73" t="s">
        <v>54</v>
      </c>
      <c r="F129" s="51"/>
      <c r="G129" s="51"/>
      <c r="H129" s="51"/>
      <c r="I129" s="82">
        <v>50000</v>
      </c>
      <c r="M129" s="22">
        <f t="shared" ref="M129" si="22">K129-L129</f>
        <v>0</v>
      </c>
    </row>
    <row r="130" spans="1:13">
      <c r="A130" s="26">
        <f t="shared" si="20"/>
        <v>69</v>
      </c>
      <c r="C130" s="51"/>
      <c r="D130" s="51"/>
      <c r="E130" s="51"/>
      <c r="F130" s="51"/>
      <c r="G130" s="51"/>
      <c r="H130" s="51"/>
      <c r="I130" s="90">
        <f>SUM(I127:I129)</f>
        <v>102287</v>
      </c>
      <c r="J130" s="113"/>
      <c r="K130" s="112">
        <f>SUM(K127:K129)</f>
        <v>904.83461538461552</v>
      </c>
      <c r="L130" s="119">
        <f>SUM(L127:L129)</f>
        <v>1278.5899999999999</v>
      </c>
      <c r="M130" s="112">
        <f>SUM(M127:M129)</f>
        <v>373.7553846153844</v>
      </c>
    </row>
    <row r="131" spans="1:13">
      <c r="A131" s="26">
        <f t="shared" si="20"/>
        <v>70</v>
      </c>
      <c r="C131" s="51"/>
      <c r="D131" s="55" t="s">
        <v>20</v>
      </c>
      <c r="E131" s="53"/>
      <c r="F131" s="51"/>
      <c r="G131" s="51"/>
      <c r="H131" s="51"/>
      <c r="I131" s="82"/>
    </row>
    <row r="132" spans="1:13">
      <c r="A132" s="26">
        <f t="shared" si="20"/>
        <v>71</v>
      </c>
      <c r="C132" s="51"/>
      <c r="D132" s="53"/>
      <c r="E132" s="52" t="s">
        <v>36</v>
      </c>
      <c r="F132" s="53"/>
      <c r="G132" s="51"/>
      <c r="H132" s="51"/>
      <c r="I132" s="83">
        <v>20000</v>
      </c>
      <c r="K132" s="22">
        <f>I132/26*1.1</f>
        <v>846.1538461538463</v>
      </c>
      <c r="L132" s="22">
        <v>1460</v>
      </c>
      <c r="M132" s="22">
        <f t="shared" ref="M132:M135" si="23">K132-L132</f>
        <v>-613.8461538461537</v>
      </c>
    </row>
    <row r="133" spans="1:13">
      <c r="A133" s="26">
        <f t="shared" si="20"/>
        <v>72</v>
      </c>
      <c r="C133" s="51"/>
      <c r="D133" s="53"/>
      <c r="E133" s="52" t="s">
        <v>51</v>
      </c>
      <c r="F133" s="53"/>
      <c r="G133" s="51"/>
      <c r="H133" s="51"/>
      <c r="I133" s="83">
        <v>7536</v>
      </c>
      <c r="K133" s="22">
        <f>I133/26*1.1</f>
        <v>318.83076923076931</v>
      </c>
      <c r="L133" s="22">
        <v>278.57</v>
      </c>
      <c r="M133" s="22">
        <f t="shared" si="23"/>
        <v>40.260769230769313</v>
      </c>
    </row>
    <row r="134" spans="1:13">
      <c r="A134" s="26">
        <f t="shared" si="20"/>
        <v>73</v>
      </c>
      <c r="C134" s="53"/>
      <c r="D134" s="53"/>
      <c r="E134" s="52" t="s">
        <v>52</v>
      </c>
      <c r="F134" s="53"/>
      <c r="G134" s="51"/>
      <c r="H134" s="51"/>
      <c r="I134" s="83">
        <v>80000</v>
      </c>
      <c r="K134" s="22">
        <f t="shared" ref="K134:K135" si="24">I134/12*1</f>
        <v>6666.666666666667</v>
      </c>
      <c r="L134" s="40">
        <v>7000</v>
      </c>
      <c r="M134" s="22">
        <f t="shared" si="23"/>
        <v>-333.33333333333303</v>
      </c>
    </row>
    <row r="135" spans="1:13">
      <c r="A135" s="26">
        <f t="shared" si="20"/>
        <v>74</v>
      </c>
      <c r="C135" s="53"/>
      <c r="D135" s="51"/>
      <c r="E135" s="52" t="s">
        <v>60</v>
      </c>
      <c r="F135" s="51"/>
      <c r="G135" s="51"/>
      <c r="H135" s="51"/>
      <c r="I135" s="82">
        <v>11000</v>
      </c>
      <c r="K135" s="22">
        <f t="shared" si="24"/>
        <v>916.66666666666663</v>
      </c>
      <c r="L135" s="40">
        <v>309.8</v>
      </c>
      <c r="M135" s="22">
        <f t="shared" si="23"/>
        <v>606.86666666666656</v>
      </c>
    </row>
    <row r="136" spans="1:13">
      <c r="A136" s="26">
        <f t="shared" si="20"/>
        <v>75</v>
      </c>
      <c r="C136" s="53"/>
      <c r="D136" s="51"/>
      <c r="E136" s="51"/>
      <c r="F136" s="51"/>
      <c r="G136" s="51"/>
      <c r="H136" s="51"/>
      <c r="I136" s="110">
        <f>SUM(I132:I135)</f>
        <v>118536</v>
      </c>
      <c r="J136" s="113"/>
      <c r="K136" s="110">
        <f>SUM(K132:K135)</f>
        <v>8748.3179487179495</v>
      </c>
      <c r="L136" s="110">
        <f>SUM(L132:L135)</f>
        <v>9048.369999999999</v>
      </c>
      <c r="M136" s="110">
        <f>SUM(M132:M135)</f>
        <v>-300.0520512820508</v>
      </c>
    </row>
    <row r="137" spans="1:13">
      <c r="A137" s="26">
        <f t="shared" si="20"/>
        <v>76</v>
      </c>
      <c r="C137" s="51"/>
      <c r="D137" s="74" t="s">
        <v>61</v>
      </c>
      <c r="E137" s="74"/>
      <c r="F137" s="51"/>
      <c r="G137" s="51"/>
      <c r="H137" s="51"/>
      <c r="I137" s="82"/>
    </row>
    <row r="138" spans="1:13">
      <c r="A138" s="26">
        <f t="shared" si="20"/>
        <v>77</v>
      </c>
      <c r="C138" s="51"/>
      <c r="D138" s="51"/>
      <c r="E138" s="52" t="s">
        <v>36</v>
      </c>
      <c r="F138" s="51"/>
      <c r="G138" s="51"/>
      <c r="H138" s="51"/>
      <c r="I138" s="82">
        <v>71560</v>
      </c>
      <c r="M138" s="22">
        <f t="shared" ref="M138:M139" si="25">K138-L138</f>
        <v>0</v>
      </c>
    </row>
    <row r="139" spans="1:13">
      <c r="A139" s="26">
        <f t="shared" si="20"/>
        <v>78</v>
      </c>
      <c r="C139" s="51"/>
      <c r="D139" s="51"/>
      <c r="E139" s="52" t="s">
        <v>51</v>
      </c>
      <c r="F139" s="51"/>
      <c r="G139" s="51"/>
      <c r="H139" s="51"/>
      <c r="I139" s="82">
        <v>44593</v>
      </c>
      <c r="K139" s="22">
        <f>I139/26*1.1</f>
        <v>1886.626923076923</v>
      </c>
      <c r="L139" s="22">
        <v>330.35</v>
      </c>
      <c r="M139" s="22">
        <f t="shared" si="25"/>
        <v>1556.2769230769231</v>
      </c>
    </row>
    <row r="140" spans="1:13">
      <c r="A140" s="26">
        <f t="shared" si="20"/>
        <v>79</v>
      </c>
      <c r="C140" s="51"/>
      <c r="D140" s="51"/>
      <c r="E140" s="51"/>
      <c r="F140" s="51"/>
      <c r="G140" s="51"/>
      <c r="H140" s="51"/>
      <c r="I140" s="108">
        <f>SUM(I138:I139)</f>
        <v>116153</v>
      </c>
      <c r="J140" s="113"/>
      <c r="K140" s="108">
        <f>SUM(K138:K139)</f>
        <v>1886.626923076923</v>
      </c>
      <c r="L140" s="108">
        <f>SUM(L138:L139)</f>
        <v>330.35</v>
      </c>
      <c r="M140" s="108">
        <f>SUM(M138:M139)</f>
        <v>1556.2769230769231</v>
      </c>
    </row>
    <row r="141" spans="1:13">
      <c r="A141" s="26">
        <f t="shared" si="20"/>
        <v>80</v>
      </c>
      <c r="C141" s="51"/>
      <c r="D141" s="63" t="s">
        <v>62</v>
      </c>
      <c r="E141" s="63"/>
      <c r="F141" s="51"/>
      <c r="G141" s="51"/>
      <c r="H141" s="51"/>
      <c r="I141" s="58"/>
    </row>
    <row r="142" spans="1:13">
      <c r="A142" s="26">
        <f t="shared" si="20"/>
        <v>81</v>
      </c>
      <c r="C142" s="51"/>
      <c r="D142" s="51"/>
      <c r="E142" s="51"/>
      <c r="F142" s="52" t="s">
        <v>63</v>
      </c>
      <c r="G142" s="51"/>
      <c r="H142" s="51"/>
      <c r="I142" s="82">
        <v>25000</v>
      </c>
      <c r="L142" s="40"/>
      <c r="M142" s="22">
        <f t="shared" ref="M142:M143" si="26">K142-L142</f>
        <v>0</v>
      </c>
    </row>
    <row r="143" spans="1:13">
      <c r="A143" s="26">
        <f t="shared" si="20"/>
        <v>82</v>
      </c>
      <c r="C143" s="51"/>
      <c r="D143" s="51"/>
      <c r="E143" s="51"/>
      <c r="F143" s="52" t="s">
        <v>22</v>
      </c>
      <c r="G143" s="51"/>
      <c r="H143" s="51"/>
      <c r="I143" s="83">
        <v>125000</v>
      </c>
      <c r="K143" s="22">
        <f t="shared" ref="K143" si="27">I143/12*1</f>
        <v>10416.666666666666</v>
      </c>
      <c r="L143" s="40">
        <v>233.5</v>
      </c>
      <c r="M143" s="22">
        <f t="shared" si="26"/>
        <v>10183.166666666666</v>
      </c>
    </row>
    <row r="144" spans="1:13">
      <c r="A144" s="26">
        <f t="shared" si="20"/>
        <v>83</v>
      </c>
      <c r="C144" s="51"/>
      <c r="D144" s="51"/>
      <c r="E144" s="51"/>
      <c r="F144" s="51"/>
      <c r="G144" s="51"/>
      <c r="H144" s="51"/>
      <c r="I144" s="108">
        <f>SUM(I142:I143)</f>
        <v>150000</v>
      </c>
      <c r="J144" s="113"/>
      <c r="K144" s="108">
        <f>SUM(K142:K143)</f>
        <v>10416.666666666666</v>
      </c>
      <c r="L144" s="108">
        <f>SUM(L142:L143)</f>
        <v>233.5</v>
      </c>
      <c r="M144" s="108">
        <f>SUM(M142:M143)</f>
        <v>10183.166666666666</v>
      </c>
    </row>
    <row r="145" spans="1:13">
      <c r="A145" s="26">
        <f t="shared" si="20"/>
        <v>84</v>
      </c>
      <c r="C145" s="51"/>
      <c r="D145" s="53" t="s">
        <v>64</v>
      </c>
      <c r="E145" s="53"/>
      <c r="F145" s="51"/>
      <c r="G145" s="51"/>
      <c r="H145" s="51"/>
      <c r="I145" s="82"/>
    </row>
    <row r="146" spans="1:13">
      <c r="A146" s="26">
        <f t="shared" si="20"/>
        <v>85</v>
      </c>
      <c r="C146" s="51"/>
      <c r="D146" s="51"/>
      <c r="E146" s="52" t="s">
        <v>36</v>
      </c>
      <c r="F146" s="51"/>
      <c r="G146" s="51"/>
      <c r="H146" s="51"/>
      <c r="I146" s="82">
        <v>177422</v>
      </c>
      <c r="K146" s="22">
        <f>I146/26*1.1</f>
        <v>7506.3153846153855</v>
      </c>
      <c r="L146" s="22">
        <v>2217.85</v>
      </c>
      <c r="M146" s="22">
        <f t="shared" ref="M146:M147" si="28">K146-L146</f>
        <v>5288.4653846153851</v>
      </c>
    </row>
    <row r="147" spans="1:13">
      <c r="A147" s="26">
        <f t="shared" si="20"/>
        <v>86</v>
      </c>
      <c r="C147" s="51"/>
      <c r="D147" s="51"/>
      <c r="E147" s="52" t="s">
        <v>51</v>
      </c>
      <c r="F147" s="51"/>
      <c r="G147" s="51"/>
      <c r="H147" s="51"/>
      <c r="I147" s="82">
        <v>81092</v>
      </c>
      <c r="K147" s="22">
        <f>+I147/12*1.1</f>
        <v>7433.4333333333343</v>
      </c>
      <c r="L147" s="22">
        <v>3464.13</v>
      </c>
      <c r="M147" s="22">
        <f t="shared" si="28"/>
        <v>3969.3033333333342</v>
      </c>
    </row>
    <row r="148" spans="1:13">
      <c r="A148" s="26">
        <f t="shared" si="20"/>
        <v>87</v>
      </c>
      <c r="C148" s="51"/>
      <c r="D148" s="51"/>
      <c r="E148" s="51"/>
      <c r="F148" s="51"/>
      <c r="G148" s="51"/>
      <c r="H148" s="51"/>
      <c r="I148" s="108">
        <f>SUM(I146:I147)</f>
        <v>258514</v>
      </c>
      <c r="J148" s="113"/>
      <c r="K148" s="108">
        <f>SUM(K146:K147)</f>
        <v>14939.74871794872</v>
      </c>
      <c r="L148" s="108">
        <f>SUM(L146:L147)</f>
        <v>5681.98</v>
      </c>
      <c r="M148" s="108">
        <f>SUM(M146:M147)</f>
        <v>9257.7687179487184</v>
      </c>
    </row>
    <row r="149" spans="1:13">
      <c r="A149" s="26">
        <f t="shared" si="20"/>
        <v>88</v>
      </c>
      <c r="C149" s="51"/>
      <c r="D149" s="53" t="s">
        <v>23</v>
      </c>
      <c r="E149" s="53"/>
      <c r="F149" s="51"/>
      <c r="G149" s="51"/>
      <c r="H149" s="51"/>
      <c r="I149" s="82"/>
      <c r="K149" s="40"/>
      <c r="L149" s="40"/>
      <c r="M149" s="40"/>
    </row>
    <row r="150" spans="1:13">
      <c r="A150" s="26">
        <f t="shared" si="20"/>
        <v>89</v>
      </c>
      <c r="C150" s="51"/>
      <c r="D150" s="51"/>
      <c r="E150" s="52" t="s">
        <v>36</v>
      </c>
      <c r="F150" s="51"/>
      <c r="G150" s="51"/>
      <c r="H150" s="51"/>
      <c r="I150" s="82">
        <v>268439</v>
      </c>
      <c r="K150" s="22">
        <f>I150/26*1.1</f>
        <v>11357.034615384617</v>
      </c>
      <c r="L150" s="22">
        <v>12735.1</v>
      </c>
      <c r="M150" s="22">
        <f t="shared" ref="M150:M162" si="29">K150-L150</f>
        <v>-1378.0653846153837</v>
      </c>
    </row>
    <row r="151" spans="1:13">
      <c r="A151" s="26">
        <f t="shared" si="20"/>
        <v>90</v>
      </c>
      <c r="C151" s="51"/>
      <c r="D151" s="51"/>
      <c r="E151" s="52" t="s">
        <v>51</v>
      </c>
      <c r="F151" s="51"/>
      <c r="G151" s="51"/>
      <c r="H151" s="51"/>
      <c r="I151" s="82">
        <v>149854</v>
      </c>
      <c r="K151" s="22">
        <f>+I151/12*1.1</f>
        <v>13736.616666666669</v>
      </c>
      <c r="L151" s="22">
        <v>11619.23</v>
      </c>
      <c r="M151" s="22">
        <f t="shared" si="29"/>
        <v>2117.386666666669</v>
      </c>
    </row>
    <row r="152" spans="1:13">
      <c r="A152" s="26">
        <f t="shared" si="20"/>
        <v>91</v>
      </c>
      <c r="D152" s="51"/>
      <c r="E152" s="52" t="s">
        <v>65</v>
      </c>
      <c r="F152" s="51"/>
      <c r="G152" s="51"/>
      <c r="H152" s="51"/>
      <c r="I152" s="71">
        <v>1015209</v>
      </c>
      <c r="K152" s="22">
        <f t="shared" ref="K152:K161" si="30">I152/12*1</f>
        <v>84600.75</v>
      </c>
      <c r="L152" s="40">
        <v>84600.75</v>
      </c>
      <c r="M152" s="22">
        <f t="shared" si="29"/>
        <v>0</v>
      </c>
    </row>
    <row r="153" spans="1:13">
      <c r="A153" s="26">
        <f t="shared" si="20"/>
        <v>92</v>
      </c>
      <c r="D153" s="51"/>
      <c r="E153" s="52" t="s">
        <v>66</v>
      </c>
      <c r="F153" s="51"/>
      <c r="G153" s="51"/>
      <c r="H153" s="51"/>
      <c r="I153" s="82">
        <v>25000</v>
      </c>
      <c r="M153" s="22">
        <f t="shared" si="29"/>
        <v>0</v>
      </c>
    </row>
    <row r="154" spans="1:13">
      <c r="A154" s="26">
        <f t="shared" si="20"/>
        <v>93</v>
      </c>
      <c r="D154" s="51"/>
      <c r="E154" s="52" t="s">
        <v>39</v>
      </c>
      <c r="F154" s="51"/>
      <c r="G154" s="51"/>
      <c r="H154" s="51"/>
      <c r="I154" s="82"/>
    </row>
    <row r="155" spans="1:13">
      <c r="A155" s="26">
        <f t="shared" si="20"/>
        <v>94</v>
      </c>
      <c r="D155" s="51"/>
      <c r="E155" s="51"/>
      <c r="F155" s="52" t="s">
        <v>67</v>
      </c>
      <c r="G155" s="51"/>
      <c r="H155" s="51"/>
      <c r="I155" s="82">
        <v>7000</v>
      </c>
      <c r="K155" s="22">
        <f t="shared" si="30"/>
        <v>583.33333333333337</v>
      </c>
      <c r="L155" s="22">
        <v>340.49</v>
      </c>
      <c r="M155" s="22">
        <f t="shared" si="29"/>
        <v>242.84333333333336</v>
      </c>
    </row>
    <row r="156" spans="1:13">
      <c r="A156" s="26">
        <f t="shared" si="20"/>
        <v>95</v>
      </c>
      <c r="D156" s="51"/>
      <c r="E156" s="51"/>
      <c r="F156" s="52" t="s">
        <v>68</v>
      </c>
      <c r="G156" s="51"/>
      <c r="H156" s="51"/>
      <c r="I156" s="82">
        <v>14000</v>
      </c>
      <c r="K156" s="22">
        <f t="shared" si="30"/>
        <v>1166.6666666666667</v>
      </c>
      <c r="L156" s="22">
        <v>5204</v>
      </c>
      <c r="M156" s="22">
        <f t="shared" si="29"/>
        <v>-4037.333333333333</v>
      </c>
    </row>
    <row r="157" spans="1:13">
      <c r="A157" s="26">
        <f t="shared" si="20"/>
        <v>96</v>
      </c>
      <c r="D157" s="51"/>
      <c r="E157" s="51"/>
      <c r="F157" s="70" t="s">
        <v>69</v>
      </c>
      <c r="G157" s="51"/>
      <c r="H157" s="51"/>
      <c r="I157" s="82">
        <v>5000</v>
      </c>
      <c r="M157" s="22">
        <f t="shared" si="29"/>
        <v>0</v>
      </c>
    </row>
    <row r="158" spans="1:13">
      <c r="A158" s="26">
        <f t="shared" si="20"/>
        <v>97</v>
      </c>
      <c r="D158" s="51"/>
      <c r="E158" s="51"/>
      <c r="F158" s="52" t="s">
        <v>70</v>
      </c>
      <c r="G158" s="51"/>
      <c r="H158" s="51"/>
      <c r="I158" s="82">
        <v>5000</v>
      </c>
      <c r="M158" s="22">
        <f t="shared" si="29"/>
        <v>0</v>
      </c>
    </row>
    <row r="159" spans="1:13">
      <c r="A159" s="26">
        <f t="shared" si="20"/>
        <v>98</v>
      </c>
      <c r="D159" s="51"/>
      <c r="E159" s="51"/>
      <c r="F159" s="52" t="s">
        <v>42</v>
      </c>
      <c r="G159" s="51"/>
      <c r="H159" s="51"/>
      <c r="I159" s="82">
        <v>20000</v>
      </c>
      <c r="K159" s="22">
        <f t="shared" si="30"/>
        <v>1666.6666666666667</v>
      </c>
      <c r="L159" s="22">
        <v>384</v>
      </c>
      <c r="M159" s="22">
        <f t="shared" si="29"/>
        <v>1282.6666666666667</v>
      </c>
    </row>
    <row r="160" spans="1:13">
      <c r="A160" s="26">
        <f t="shared" si="20"/>
        <v>99</v>
      </c>
      <c r="D160" s="51"/>
      <c r="E160" s="70" t="s">
        <v>53</v>
      </c>
      <c r="F160" s="51"/>
      <c r="G160" s="51"/>
      <c r="H160" s="51"/>
      <c r="I160" s="71">
        <v>40000</v>
      </c>
      <c r="L160" s="40"/>
      <c r="M160" s="22">
        <f t="shared" si="29"/>
        <v>0</v>
      </c>
    </row>
    <row r="161" spans="1:13">
      <c r="A161" s="26">
        <f t="shared" si="20"/>
        <v>100</v>
      </c>
      <c r="D161" s="51"/>
      <c r="E161" s="52" t="s">
        <v>71</v>
      </c>
      <c r="F161" s="51"/>
      <c r="G161" s="51"/>
      <c r="H161" s="51"/>
      <c r="I161" s="71">
        <v>20000</v>
      </c>
      <c r="K161" s="22">
        <f t="shared" si="30"/>
        <v>1666.6666666666667</v>
      </c>
      <c r="L161" s="22">
        <v>12114.81</v>
      </c>
      <c r="M161" s="22">
        <f t="shared" si="29"/>
        <v>-10448.143333333333</v>
      </c>
    </row>
    <row r="162" spans="1:13">
      <c r="A162" s="26">
        <f t="shared" si="20"/>
        <v>101</v>
      </c>
      <c r="D162" s="51"/>
      <c r="E162" s="70" t="s">
        <v>55</v>
      </c>
      <c r="F162" s="51"/>
      <c r="G162" s="51"/>
      <c r="H162" s="51"/>
      <c r="I162" s="85">
        <v>16000</v>
      </c>
      <c r="M162" s="22">
        <f t="shared" si="29"/>
        <v>0</v>
      </c>
    </row>
    <row r="163" spans="1:13">
      <c r="A163" s="26">
        <f t="shared" si="20"/>
        <v>102</v>
      </c>
      <c r="D163" s="51"/>
      <c r="E163" s="51"/>
      <c r="F163" s="51"/>
      <c r="G163" s="51"/>
      <c r="H163" s="51"/>
      <c r="I163" s="11">
        <f>SUM(I150:I162)</f>
        <v>1585502</v>
      </c>
      <c r="J163" s="113"/>
      <c r="K163" s="11">
        <f>SUM(K150:K162)</f>
        <v>114777.73461538463</v>
      </c>
      <c r="L163" s="11">
        <f>SUM(L150:L162)</f>
        <v>126998.38</v>
      </c>
      <c r="M163" s="11">
        <f>SUM(M150:M162)</f>
        <v>-12220.645384615382</v>
      </c>
    </row>
    <row r="164" spans="1:13">
      <c r="A164" s="26">
        <f t="shared" si="20"/>
        <v>103</v>
      </c>
      <c r="D164" s="53" t="s">
        <v>24</v>
      </c>
      <c r="E164" s="53"/>
      <c r="F164" s="51"/>
      <c r="G164" s="51"/>
      <c r="H164" s="51"/>
      <c r="I164" s="82"/>
    </row>
    <row r="165" spans="1:13">
      <c r="A165" s="26">
        <f t="shared" si="20"/>
        <v>104</v>
      </c>
      <c r="D165" s="51"/>
      <c r="E165" s="52" t="s">
        <v>38</v>
      </c>
      <c r="F165" s="51"/>
      <c r="G165" s="51"/>
      <c r="H165" s="51"/>
      <c r="I165" s="82">
        <v>95000</v>
      </c>
      <c r="M165" s="22">
        <f t="shared" ref="M165:M166" si="31">K165-L165</f>
        <v>0</v>
      </c>
    </row>
    <row r="166" spans="1:13">
      <c r="A166" s="26">
        <f t="shared" si="20"/>
        <v>105</v>
      </c>
      <c r="D166" s="51"/>
      <c r="E166" s="70" t="s">
        <v>53</v>
      </c>
      <c r="F166" s="51"/>
      <c r="G166" s="51"/>
      <c r="H166" s="51"/>
      <c r="I166" s="82">
        <v>5000</v>
      </c>
      <c r="M166" s="22">
        <f t="shared" si="31"/>
        <v>0</v>
      </c>
    </row>
    <row r="167" spans="1:13">
      <c r="A167" s="26">
        <f t="shared" si="20"/>
        <v>106</v>
      </c>
      <c r="D167" s="51"/>
      <c r="E167" s="51"/>
      <c r="F167" s="51"/>
      <c r="G167" s="51"/>
      <c r="H167" s="51"/>
      <c r="I167" s="112">
        <f>SUM(I165:I166)</f>
        <v>100000</v>
      </c>
      <c r="J167" s="113"/>
      <c r="K167" s="119">
        <f>SUM(K165:K166)</f>
        <v>0</v>
      </c>
      <c r="L167" s="119">
        <f>SUM(L165:L166)</f>
        <v>0</v>
      </c>
      <c r="M167" s="119">
        <f>SUM(M165:M166)</f>
        <v>0</v>
      </c>
    </row>
    <row r="168" spans="1:13">
      <c r="A168" s="26">
        <f t="shared" si="20"/>
        <v>107</v>
      </c>
      <c r="D168" s="53" t="s">
        <v>25</v>
      </c>
      <c r="E168" s="51"/>
      <c r="F168" s="51"/>
      <c r="G168" s="51"/>
      <c r="H168" s="51"/>
      <c r="I168" s="82"/>
    </row>
    <row r="169" spans="1:13">
      <c r="A169" s="26">
        <f t="shared" si="20"/>
        <v>108</v>
      </c>
      <c r="D169" s="51"/>
      <c r="E169" s="52" t="s">
        <v>72</v>
      </c>
      <c r="F169" s="51"/>
      <c r="G169" s="51"/>
      <c r="H169" s="51"/>
      <c r="I169" s="82">
        <v>175000</v>
      </c>
      <c r="K169" s="22">
        <f t="shared" ref="K169" si="32">I169/12*1</f>
        <v>14583.333333333334</v>
      </c>
      <c r="L169" s="22">
        <v>11621.05</v>
      </c>
      <c r="M169" s="22">
        <f t="shared" ref="M169:M172" si="33">K169-L169</f>
        <v>2962.2833333333347</v>
      </c>
    </row>
    <row r="170" spans="1:13">
      <c r="A170" s="26">
        <f t="shared" si="20"/>
        <v>109</v>
      </c>
      <c r="D170" s="51"/>
      <c r="E170" s="52" t="s">
        <v>73</v>
      </c>
      <c r="F170" s="51"/>
      <c r="G170" s="51"/>
      <c r="H170" s="51"/>
      <c r="I170" s="82">
        <v>60000</v>
      </c>
      <c r="K170" s="22">
        <f t="shared" ref="K170:K171" si="34">I170/12*1</f>
        <v>5000</v>
      </c>
      <c r="L170" s="40">
        <v>1271.01</v>
      </c>
      <c r="M170" s="22">
        <f t="shared" si="33"/>
        <v>3728.99</v>
      </c>
    </row>
    <row r="171" spans="1:13">
      <c r="A171" s="26">
        <f t="shared" si="20"/>
        <v>110</v>
      </c>
      <c r="D171" s="51"/>
      <c r="E171" s="52" t="s">
        <v>74</v>
      </c>
      <c r="F171" s="51"/>
      <c r="G171" s="51"/>
      <c r="H171" s="51"/>
      <c r="I171" s="82">
        <v>12000</v>
      </c>
      <c r="K171" s="22">
        <f t="shared" si="34"/>
        <v>1000</v>
      </c>
      <c r="L171" s="22">
        <v>747.67</v>
      </c>
      <c r="M171" s="22">
        <f t="shared" si="33"/>
        <v>252.33000000000004</v>
      </c>
    </row>
    <row r="172" spans="1:13">
      <c r="A172" s="26">
        <f t="shared" si="20"/>
        <v>111</v>
      </c>
      <c r="D172" s="51"/>
      <c r="E172" s="52" t="s">
        <v>75</v>
      </c>
      <c r="F172" s="51"/>
      <c r="G172" s="51"/>
      <c r="H172" s="51"/>
      <c r="I172" s="83">
        <v>20000</v>
      </c>
      <c r="M172" s="22">
        <f t="shared" si="33"/>
        <v>0</v>
      </c>
    </row>
    <row r="173" spans="1:13">
      <c r="A173" s="26">
        <f t="shared" si="20"/>
        <v>112</v>
      </c>
      <c r="D173" s="51"/>
      <c r="E173" s="51"/>
      <c r="F173" s="51"/>
      <c r="G173" s="51"/>
      <c r="H173" s="51"/>
      <c r="I173" s="112">
        <f>SUM(I169:I172)</f>
        <v>267000</v>
      </c>
      <c r="J173" s="113"/>
      <c r="K173" s="112">
        <f>SUM(K169:K172)</f>
        <v>20583.333333333336</v>
      </c>
      <c r="L173" s="112">
        <f>SUM(L169:L172)</f>
        <v>13639.73</v>
      </c>
      <c r="M173" s="112">
        <f>SUM(M169:M172)</f>
        <v>6943.6033333333344</v>
      </c>
    </row>
    <row r="174" spans="1:13">
      <c r="A174" s="26">
        <f t="shared" si="20"/>
        <v>113</v>
      </c>
      <c r="D174" s="53" t="s">
        <v>76</v>
      </c>
      <c r="E174" s="53"/>
      <c r="F174" s="51"/>
      <c r="G174" s="51"/>
      <c r="H174" s="51"/>
      <c r="I174" s="82"/>
    </row>
    <row r="175" spans="1:13">
      <c r="A175" s="26">
        <f t="shared" si="20"/>
        <v>114</v>
      </c>
      <c r="D175" s="53"/>
      <c r="E175" s="52" t="s">
        <v>36</v>
      </c>
      <c r="F175" s="51"/>
      <c r="G175" s="51"/>
      <c r="H175" s="51"/>
      <c r="I175" s="82">
        <v>123600</v>
      </c>
      <c r="K175" s="22">
        <f>I175/26*1.1</f>
        <v>5229.2307692307704</v>
      </c>
      <c r="L175" s="22">
        <v>6781.14</v>
      </c>
      <c r="M175" s="22">
        <f t="shared" ref="M175:M185" si="35">K175-L175</f>
        <v>-1551.9092307692299</v>
      </c>
    </row>
    <row r="176" spans="1:13">
      <c r="A176" s="26">
        <f t="shared" si="20"/>
        <v>115</v>
      </c>
      <c r="D176" s="53"/>
      <c r="E176" s="52" t="s">
        <v>51</v>
      </c>
      <c r="F176" s="51"/>
      <c r="G176" s="51"/>
      <c r="H176" s="51"/>
      <c r="I176" s="82">
        <v>60407</v>
      </c>
      <c r="K176" s="22">
        <f>+I176/12*1.1</f>
        <v>5537.3083333333343</v>
      </c>
      <c r="L176" s="22">
        <v>5388.7</v>
      </c>
      <c r="M176" s="22">
        <f t="shared" si="35"/>
        <v>148.60833333333449</v>
      </c>
    </row>
    <row r="177" spans="1:18">
      <c r="A177" s="26">
        <f t="shared" si="20"/>
        <v>116</v>
      </c>
      <c r="D177" s="51"/>
      <c r="E177" s="52" t="s">
        <v>77</v>
      </c>
      <c r="F177" s="51"/>
      <c r="G177" s="51"/>
      <c r="H177" s="51"/>
      <c r="I177" s="82"/>
      <c r="M177" s="22">
        <f t="shared" si="35"/>
        <v>0</v>
      </c>
    </row>
    <row r="178" spans="1:18">
      <c r="A178" s="26">
        <f t="shared" si="20"/>
        <v>117</v>
      </c>
      <c r="D178" s="51"/>
      <c r="E178" s="51"/>
      <c r="F178" s="52" t="s">
        <v>78</v>
      </c>
      <c r="G178" s="51"/>
      <c r="H178" s="51"/>
      <c r="I178" s="82">
        <f>130000-10000</f>
        <v>120000</v>
      </c>
      <c r="K178" s="22">
        <f>I178/12*1</f>
        <v>10000</v>
      </c>
      <c r="L178" s="22">
        <v>46129.18</v>
      </c>
      <c r="M178" s="22">
        <f t="shared" si="35"/>
        <v>-36129.18</v>
      </c>
    </row>
    <row r="179" spans="1:18">
      <c r="A179" s="26">
        <f t="shared" si="20"/>
        <v>118</v>
      </c>
      <c r="D179" s="51"/>
      <c r="E179" s="51"/>
      <c r="F179" s="73" t="s">
        <v>79</v>
      </c>
      <c r="G179" s="51"/>
      <c r="H179" s="51"/>
      <c r="I179" s="71">
        <v>200000</v>
      </c>
      <c r="K179" s="22">
        <f>I179/12*1</f>
        <v>16666.666666666668</v>
      </c>
      <c r="L179" s="22">
        <f>905</f>
        <v>905</v>
      </c>
      <c r="M179" s="22">
        <f t="shared" si="35"/>
        <v>15761.666666666668</v>
      </c>
    </row>
    <row r="180" spans="1:18">
      <c r="A180" s="26">
        <f t="shared" si="20"/>
        <v>119</v>
      </c>
      <c r="D180" s="51"/>
      <c r="E180" s="51"/>
      <c r="F180" s="73" t="s">
        <v>80</v>
      </c>
      <c r="G180" s="51"/>
      <c r="H180" s="51"/>
      <c r="I180" s="71">
        <v>296856</v>
      </c>
      <c r="K180" s="22">
        <f t="shared" ref="K180:K181" si="36">I180/12*1</f>
        <v>24738</v>
      </c>
      <c r="L180" s="40">
        <v>24738</v>
      </c>
      <c r="M180" s="22">
        <f t="shared" si="35"/>
        <v>0</v>
      </c>
    </row>
    <row r="181" spans="1:18">
      <c r="A181" s="26">
        <f t="shared" si="20"/>
        <v>120</v>
      </c>
      <c r="D181" s="51"/>
      <c r="E181" s="51"/>
      <c r="F181" s="73" t="s">
        <v>81</v>
      </c>
      <c r="G181" s="51"/>
      <c r="H181" s="51"/>
      <c r="I181" s="71">
        <v>200000</v>
      </c>
      <c r="K181" s="22">
        <f t="shared" si="36"/>
        <v>16666.666666666668</v>
      </c>
      <c r="L181" s="40">
        <f>1900+109+200</f>
        <v>2209</v>
      </c>
      <c r="M181" s="40">
        <f t="shared" si="35"/>
        <v>14457.666666666668</v>
      </c>
    </row>
    <row r="182" spans="1:18">
      <c r="A182" s="26">
        <f t="shared" si="20"/>
        <v>121</v>
      </c>
      <c r="D182" s="51"/>
      <c r="E182" s="51"/>
      <c r="F182" s="73" t="s">
        <v>119</v>
      </c>
      <c r="G182" s="51"/>
      <c r="H182" s="51"/>
      <c r="I182" s="71">
        <v>300000</v>
      </c>
      <c r="L182" s="40"/>
      <c r="M182" s="40">
        <f t="shared" si="35"/>
        <v>0</v>
      </c>
    </row>
    <row r="183" spans="1:18">
      <c r="A183" s="26">
        <f t="shared" ref="A183:A228" si="37">+A182+1</f>
        <v>122</v>
      </c>
      <c r="D183" s="51"/>
      <c r="E183" s="51"/>
      <c r="F183" s="73" t="s">
        <v>53</v>
      </c>
      <c r="G183" s="51"/>
      <c r="H183" s="51"/>
      <c r="I183" s="71">
        <v>100000</v>
      </c>
      <c r="K183" s="22">
        <f t="shared" ref="K183:K184" si="38">I183/12*1</f>
        <v>8333.3333333333339</v>
      </c>
      <c r="L183" s="40">
        <f>473.09</f>
        <v>473.09</v>
      </c>
      <c r="M183" s="22">
        <f t="shared" si="35"/>
        <v>7860.2433333333338</v>
      </c>
    </row>
    <row r="184" spans="1:18" hidden="1">
      <c r="A184" s="26">
        <f t="shared" si="37"/>
        <v>123</v>
      </c>
      <c r="D184" s="51"/>
      <c r="E184" s="51"/>
      <c r="F184" s="73" t="s">
        <v>114</v>
      </c>
      <c r="G184" s="51"/>
      <c r="H184" s="51"/>
      <c r="I184" s="82"/>
      <c r="K184" s="22">
        <f t="shared" si="38"/>
        <v>0</v>
      </c>
      <c r="M184" s="22">
        <f t="shared" si="35"/>
        <v>0</v>
      </c>
    </row>
    <row r="185" spans="1:18">
      <c r="A185" s="26">
        <f t="shared" si="37"/>
        <v>124</v>
      </c>
      <c r="D185" s="51"/>
      <c r="E185" s="51"/>
      <c r="F185" s="73" t="s">
        <v>112</v>
      </c>
      <c r="G185" s="51"/>
      <c r="H185" s="51"/>
      <c r="I185" s="71">
        <v>10000</v>
      </c>
      <c r="M185" s="22">
        <f t="shared" si="35"/>
        <v>0</v>
      </c>
    </row>
    <row r="186" spans="1:18">
      <c r="A186" s="26">
        <f t="shared" si="37"/>
        <v>125</v>
      </c>
      <c r="D186" s="51"/>
      <c r="E186" s="51"/>
      <c r="F186" s="51"/>
      <c r="G186" s="51"/>
      <c r="H186" s="51"/>
      <c r="I186" s="112">
        <f>SUM(I175:I185)</f>
        <v>1410863</v>
      </c>
      <c r="J186" s="113"/>
      <c r="K186" s="112">
        <f>SUM(K175:K185)</f>
        <v>87171.205769230772</v>
      </c>
      <c r="L186" s="112">
        <f>SUM(L175:L185)</f>
        <v>86624.11</v>
      </c>
      <c r="M186" s="112">
        <f>SUM(M175:M185)</f>
        <v>547.09576923077293</v>
      </c>
    </row>
    <row r="187" spans="1:18">
      <c r="A187" s="26">
        <f t="shared" si="37"/>
        <v>126</v>
      </c>
      <c r="D187" s="53" t="s">
        <v>27</v>
      </c>
      <c r="E187" s="51"/>
      <c r="F187" s="51"/>
      <c r="G187" s="51"/>
      <c r="H187" s="51"/>
      <c r="I187" s="83"/>
    </row>
    <row r="188" spans="1:18">
      <c r="A188" s="26">
        <f t="shared" si="37"/>
        <v>127</v>
      </c>
      <c r="D188" s="53"/>
      <c r="E188" s="52" t="s">
        <v>36</v>
      </c>
      <c r="F188" s="51"/>
      <c r="G188" s="51"/>
      <c r="H188" s="51"/>
      <c r="I188" s="82">
        <v>109232</v>
      </c>
      <c r="M188" s="22">
        <f t="shared" ref="M188:M190" si="39">K188-L188</f>
        <v>0</v>
      </c>
    </row>
    <row r="189" spans="1:18">
      <c r="A189" s="26">
        <f t="shared" si="37"/>
        <v>128</v>
      </c>
      <c r="D189" s="53"/>
      <c r="E189" s="52" t="s">
        <v>51</v>
      </c>
      <c r="F189" s="51"/>
      <c r="G189" s="51"/>
      <c r="H189" s="51"/>
      <c r="I189" s="82">
        <v>52574</v>
      </c>
      <c r="K189" s="22">
        <f>+I189/12*1.1</f>
        <v>4819.2833333333338</v>
      </c>
      <c r="L189" s="22">
        <v>2645.58</v>
      </c>
      <c r="M189" s="22">
        <f t="shared" si="39"/>
        <v>2173.7033333333338</v>
      </c>
    </row>
    <row r="190" spans="1:18">
      <c r="A190" s="26">
        <f t="shared" si="37"/>
        <v>129</v>
      </c>
      <c r="D190" s="53"/>
      <c r="E190" s="52" t="s">
        <v>38</v>
      </c>
      <c r="F190" s="51"/>
      <c r="G190" s="51"/>
      <c r="H190" s="51"/>
      <c r="I190" s="87">
        <v>35000</v>
      </c>
      <c r="M190" s="22">
        <f t="shared" si="39"/>
        <v>0</v>
      </c>
    </row>
    <row r="191" spans="1:18">
      <c r="A191" s="26">
        <f t="shared" si="37"/>
        <v>130</v>
      </c>
      <c r="D191" s="51"/>
      <c r="E191" s="73"/>
      <c r="F191" s="51"/>
      <c r="G191" s="51"/>
      <c r="H191" s="51"/>
      <c r="I191" s="114">
        <f>SUM(I188:I190)</f>
        <v>196806</v>
      </c>
      <c r="J191" s="113"/>
      <c r="K191" s="114">
        <f>SUM(K188:K190)</f>
        <v>4819.2833333333338</v>
      </c>
      <c r="L191" s="114">
        <f>SUM(L188:L190)</f>
        <v>2645.58</v>
      </c>
      <c r="M191" s="114">
        <f>SUM(M188:M190)</f>
        <v>2173.7033333333338</v>
      </c>
      <c r="R191" s="5"/>
    </row>
    <row r="192" spans="1:18">
      <c r="A192" s="26">
        <f t="shared" si="37"/>
        <v>131</v>
      </c>
      <c r="D192" s="51"/>
      <c r="E192" s="73"/>
      <c r="F192" s="51"/>
      <c r="G192" s="51"/>
      <c r="H192" s="51"/>
      <c r="I192" s="71"/>
    </row>
    <row r="193" spans="1:18">
      <c r="A193" s="26">
        <f t="shared" si="37"/>
        <v>132</v>
      </c>
      <c r="D193" s="63" t="s">
        <v>82</v>
      </c>
      <c r="E193" s="74"/>
      <c r="F193" s="51"/>
      <c r="G193" s="51"/>
      <c r="H193" s="51"/>
      <c r="I193" s="82"/>
    </row>
    <row r="194" spans="1:18">
      <c r="A194" s="26">
        <f t="shared" si="37"/>
        <v>133</v>
      </c>
      <c r="C194" s="51"/>
      <c r="D194" s="51"/>
      <c r="E194" s="52" t="s">
        <v>38</v>
      </c>
      <c r="F194" s="51"/>
      <c r="G194" s="51"/>
      <c r="H194" s="51"/>
      <c r="I194" s="82">
        <v>90923</v>
      </c>
      <c r="K194" s="22">
        <f t="shared" ref="K194:K195" si="40">I194/12*1</f>
        <v>7576.916666666667</v>
      </c>
      <c r="L194" s="40">
        <v>2500</v>
      </c>
      <c r="M194" s="22">
        <f t="shared" ref="M194:M196" si="41">K194-L194</f>
        <v>5076.916666666667</v>
      </c>
      <c r="O194" s="104"/>
    </row>
    <row r="195" spans="1:18">
      <c r="A195" s="26">
        <f t="shared" si="37"/>
        <v>134</v>
      </c>
      <c r="C195" s="51"/>
      <c r="D195" s="51"/>
      <c r="E195" s="52" t="s">
        <v>83</v>
      </c>
      <c r="F195" s="51"/>
      <c r="G195" s="51"/>
      <c r="H195" s="51"/>
      <c r="I195" s="82">
        <v>117284</v>
      </c>
      <c r="K195" s="22">
        <f t="shared" si="40"/>
        <v>9773.6666666666661</v>
      </c>
      <c r="L195" s="22">
        <v>10377.620000000001</v>
      </c>
      <c r="M195" s="22">
        <f t="shared" si="41"/>
        <v>-603.95333333333474</v>
      </c>
    </row>
    <row r="196" spans="1:18">
      <c r="A196" s="26">
        <f t="shared" si="37"/>
        <v>135</v>
      </c>
      <c r="C196" s="51"/>
      <c r="D196" s="51"/>
      <c r="E196" s="73" t="s">
        <v>53</v>
      </c>
      <c r="F196" s="51"/>
      <c r="G196" s="51"/>
      <c r="H196" s="51"/>
      <c r="I196" s="82">
        <v>10000</v>
      </c>
      <c r="M196" s="22">
        <f t="shared" si="41"/>
        <v>0</v>
      </c>
    </row>
    <row r="197" spans="1:18">
      <c r="A197" s="26">
        <f t="shared" si="37"/>
        <v>136</v>
      </c>
      <c r="C197" s="51"/>
      <c r="D197" s="51"/>
      <c r="E197" s="51"/>
      <c r="F197" s="51"/>
      <c r="G197" s="51"/>
      <c r="H197" s="51"/>
      <c r="I197" s="11">
        <f>SUM(I194:I196)</f>
        <v>218207</v>
      </c>
      <c r="K197" s="11">
        <f>SUM(K194:K196)</f>
        <v>17350.583333333332</v>
      </c>
      <c r="L197" s="11">
        <f>SUM(L194:L196)</f>
        <v>12877.62</v>
      </c>
      <c r="M197" s="11">
        <f>SUM(M194:M196)</f>
        <v>4472.9633333333322</v>
      </c>
      <c r="R197" s="42"/>
    </row>
    <row r="198" spans="1:18">
      <c r="A198" s="26">
        <f t="shared" si="37"/>
        <v>137</v>
      </c>
      <c r="C198" s="51"/>
      <c r="D198" s="51"/>
      <c r="E198" s="51"/>
      <c r="F198" s="51"/>
      <c r="G198" s="51"/>
      <c r="H198" s="51"/>
      <c r="I198" s="82"/>
      <c r="Q198" s="41"/>
    </row>
    <row r="199" spans="1:18">
      <c r="A199" s="26">
        <f t="shared" si="37"/>
        <v>138</v>
      </c>
      <c r="C199" s="51"/>
      <c r="D199" s="51"/>
      <c r="E199" s="51"/>
      <c r="F199" s="53" t="s">
        <v>84</v>
      </c>
      <c r="G199" s="51"/>
      <c r="H199" s="51"/>
      <c r="I199" s="10">
        <f>+I140+I186+I167+I163+I144+I136+I121+I173+I197+I116+I130+I125+I191+I148</f>
        <v>5212263</v>
      </c>
      <c r="K199" s="10">
        <f>+K140+K186+K167+K163+K144+K136+K121+K173+K197+K116+K130+K125+K191+K148</f>
        <v>308856.37371794874</v>
      </c>
      <c r="L199" s="10">
        <f>+L140+L186+L167+L163+L144+L136+L121+L173+L197+L116+L130+L125+L191+L148</f>
        <v>273921.27000000008</v>
      </c>
      <c r="M199" s="10">
        <f>+M140+M186+M167+M163+M144+M136+M121+M173+M197+M116+M130+M125+M191+M148</f>
        <v>35682.614487179497</v>
      </c>
      <c r="Q199" s="41"/>
    </row>
    <row r="200" spans="1:18">
      <c r="A200" s="26">
        <f t="shared" si="37"/>
        <v>139</v>
      </c>
      <c r="C200" s="51"/>
      <c r="D200" s="51"/>
      <c r="E200" s="51"/>
      <c r="F200" s="53"/>
      <c r="G200" s="51"/>
      <c r="H200" s="51"/>
      <c r="I200" s="58"/>
    </row>
    <row r="201" spans="1:18">
      <c r="A201" s="26">
        <f t="shared" si="37"/>
        <v>140</v>
      </c>
      <c r="C201" s="53" t="s">
        <v>85</v>
      </c>
      <c r="D201" s="51"/>
      <c r="E201" s="51"/>
      <c r="F201" s="53"/>
      <c r="G201" s="51"/>
      <c r="H201" s="51"/>
      <c r="I201" s="58"/>
    </row>
    <row r="202" spans="1:18">
      <c r="A202" s="26">
        <f t="shared" si="37"/>
        <v>141</v>
      </c>
      <c r="C202" s="51"/>
      <c r="D202" s="53" t="s">
        <v>30</v>
      </c>
      <c r="E202" s="51"/>
      <c r="F202" s="53"/>
      <c r="G202" s="51"/>
      <c r="H202" s="51"/>
      <c r="I202" s="58"/>
    </row>
    <row r="203" spans="1:18">
      <c r="A203" s="26">
        <f t="shared" si="37"/>
        <v>142</v>
      </c>
      <c r="D203" s="51"/>
      <c r="E203" s="52" t="s">
        <v>36</v>
      </c>
      <c r="F203" s="51"/>
      <c r="G203" s="51"/>
      <c r="H203" s="51"/>
      <c r="I203" s="82">
        <v>93250</v>
      </c>
      <c r="M203" s="22">
        <f t="shared" ref="M203:M204" si="42">K203-L203</f>
        <v>0</v>
      </c>
    </row>
    <row r="204" spans="1:18">
      <c r="A204" s="26">
        <f t="shared" si="37"/>
        <v>143</v>
      </c>
      <c r="C204" s="51"/>
      <c r="D204" s="51"/>
      <c r="E204" s="52" t="s">
        <v>51</v>
      </c>
      <c r="F204" s="51"/>
      <c r="G204" s="51"/>
      <c r="H204" s="51"/>
      <c r="I204" s="82">
        <v>31069</v>
      </c>
      <c r="M204" s="22">
        <f t="shared" si="42"/>
        <v>0</v>
      </c>
    </row>
    <row r="205" spans="1:18">
      <c r="A205" s="26">
        <f t="shared" si="37"/>
        <v>144</v>
      </c>
      <c r="C205" s="51"/>
      <c r="D205" s="51"/>
      <c r="E205" s="51"/>
      <c r="F205" s="53"/>
      <c r="G205" s="51"/>
      <c r="H205" s="51"/>
      <c r="I205" s="108">
        <f>SUM(I203:I204)</f>
        <v>124319</v>
      </c>
      <c r="J205" s="113"/>
      <c r="K205" s="108">
        <f>SUM(K203:K204)</f>
        <v>0</v>
      </c>
      <c r="L205" s="108">
        <f>SUM(L203:L204)</f>
        <v>0</v>
      </c>
      <c r="M205" s="108">
        <f>SUM(M203:M204)</f>
        <v>0</v>
      </c>
    </row>
    <row r="206" spans="1:18">
      <c r="A206" s="26">
        <f t="shared" si="37"/>
        <v>145</v>
      </c>
      <c r="C206" s="51"/>
      <c r="D206" s="63" t="s">
        <v>31</v>
      </c>
      <c r="E206" s="51"/>
      <c r="F206" s="51"/>
      <c r="G206" s="51"/>
      <c r="H206" s="51"/>
      <c r="I206" s="58"/>
    </row>
    <row r="207" spans="1:18">
      <c r="A207" s="26">
        <f t="shared" si="37"/>
        <v>146</v>
      </c>
      <c r="C207" s="51"/>
      <c r="D207" s="63"/>
      <c r="E207" s="52" t="s">
        <v>36</v>
      </c>
      <c r="F207" s="51"/>
      <c r="G207" s="51"/>
      <c r="H207" s="51"/>
      <c r="I207" s="58">
        <v>26523</v>
      </c>
      <c r="M207" s="22">
        <f t="shared" ref="M207:M211" si="43">K207-L207</f>
        <v>0</v>
      </c>
    </row>
    <row r="208" spans="1:18">
      <c r="A208" s="26">
        <f t="shared" si="37"/>
        <v>147</v>
      </c>
      <c r="C208" s="51"/>
      <c r="D208" s="63"/>
      <c r="E208" s="52" t="s">
        <v>51</v>
      </c>
      <c r="F208" s="51"/>
      <c r="G208" s="51"/>
      <c r="H208" s="51"/>
      <c r="I208" s="58">
        <v>12932</v>
      </c>
      <c r="K208" s="22">
        <f>+I208/12*1.1</f>
        <v>1185.4333333333336</v>
      </c>
      <c r="L208" s="22">
        <v>2007.57</v>
      </c>
      <c r="M208" s="22">
        <f t="shared" si="43"/>
        <v>-822.13666666666631</v>
      </c>
    </row>
    <row r="209" spans="1:13">
      <c r="A209" s="26">
        <f t="shared" si="37"/>
        <v>148</v>
      </c>
      <c r="C209" s="51"/>
      <c r="D209" s="63"/>
      <c r="E209" s="52" t="s">
        <v>52</v>
      </c>
      <c r="F209" s="51"/>
      <c r="G209" s="51"/>
      <c r="H209" s="51"/>
      <c r="I209" s="58">
        <v>20000</v>
      </c>
      <c r="M209" s="22">
        <f t="shared" si="43"/>
        <v>0</v>
      </c>
    </row>
    <row r="210" spans="1:13">
      <c r="A210" s="26">
        <f t="shared" si="37"/>
        <v>149</v>
      </c>
      <c r="B210" s="51"/>
      <c r="C210" s="51"/>
      <c r="D210" s="51"/>
      <c r="E210" s="52" t="s">
        <v>38</v>
      </c>
      <c r="F210" s="51"/>
      <c r="G210" s="51"/>
      <c r="H210" s="51"/>
      <c r="I210" s="83">
        <v>10000</v>
      </c>
      <c r="M210" s="22">
        <f t="shared" si="43"/>
        <v>0</v>
      </c>
    </row>
    <row r="211" spans="1:13">
      <c r="A211" s="26">
        <f t="shared" si="37"/>
        <v>150</v>
      </c>
      <c r="B211" s="51"/>
      <c r="C211" s="51"/>
      <c r="D211" s="51"/>
      <c r="E211" s="52" t="s">
        <v>53</v>
      </c>
      <c r="F211" s="51"/>
      <c r="G211" s="51"/>
      <c r="H211" s="51"/>
      <c r="I211" s="83">
        <v>10000</v>
      </c>
      <c r="M211" s="22">
        <f t="shared" si="43"/>
        <v>0</v>
      </c>
    </row>
    <row r="212" spans="1:13">
      <c r="A212" s="26">
        <f t="shared" si="37"/>
        <v>151</v>
      </c>
      <c r="B212" s="51"/>
      <c r="C212" s="51"/>
      <c r="D212" s="51"/>
      <c r="E212" s="51"/>
      <c r="F212" s="51"/>
      <c r="G212" s="51"/>
      <c r="H212" s="51"/>
      <c r="I212" s="112">
        <f>SUM(I207:I211)</f>
        <v>79455</v>
      </c>
      <c r="J212" s="113"/>
      <c r="K212" s="112">
        <f>SUM(K207:K211)</f>
        <v>1185.4333333333336</v>
      </c>
      <c r="L212" s="112">
        <f>SUM(L207:L211)</f>
        <v>2007.57</v>
      </c>
      <c r="M212" s="112">
        <f>SUM(M207:M211)</f>
        <v>-822.13666666666631</v>
      </c>
    </row>
    <row r="213" spans="1:13">
      <c r="A213" s="26">
        <f t="shared" si="37"/>
        <v>152</v>
      </c>
      <c r="B213" s="51"/>
      <c r="C213" s="51"/>
      <c r="D213" s="51"/>
      <c r="E213" s="51"/>
      <c r="F213" s="51"/>
      <c r="G213" s="51"/>
      <c r="H213" s="51"/>
      <c r="I213" s="84"/>
    </row>
    <row r="214" spans="1:13">
      <c r="A214" s="26">
        <f t="shared" si="37"/>
        <v>153</v>
      </c>
      <c r="B214" s="51"/>
      <c r="C214" s="53" t="s">
        <v>85</v>
      </c>
      <c r="D214" s="51"/>
      <c r="E214" s="51"/>
      <c r="F214" s="51"/>
      <c r="G214" s="51"/>
      <c r="H214" s="51"/>
      <c r="I214" s="112">
        <f>I212+I205</f>
        <v>203774</v>
      </c>
      <c r="J214" s="113"/>
      <c r="K214" s="112">
        <f>K212+K205</f>
        <v>1185.4333333333336</v>
      </c>
      <c r="L214" s="112">
        <f>L212+L205</f>
        <v>2007.57</v>
      </c>
      <c r="M214" s="112">
        <f>M212+M205</f>
        <v>-822.13666666666631</v>
      </c>
    </row>
    <row r="215" spans="1:13">
      <c r="A215" s="26">
        <f t="shared" si="37"/>
        <v>154</v>
      </c>
      <c r="B215" s="51"/>
      <c r="C215" s="51"/>
      <c r="D215" s="51"/>
      <c r="E215" s="51"/>
      <c r="F215" s="51"/>
      <c r="G215" s="51"/>
      <c r="H215" s="51"/>
      <c r="I215" s="84"/>
      <c r="K215" s="9"/>
      <c r="L215" s="9"/>
      <c r="M215" s="9"/>
    </row>
    <row r="216" spans="1:13">
      <c r="A216" s="26">
        <f t="shared" si="37"/>
        <v>155</v>
      </c>
      <c r="B216" s="74" t="s">
        <v>33</v>
      </c>
      <c r="C216" s="51"/>
      <c r="D216" s="51"/>
      <c r="E216" s="51"/>
      <c r="F216" s="51"/>
      <c r="G216" s="51"/>
      <c r="H216" s="51"/>
      <c r="I216" s="11">
        <f>+I199+I110+I214+1</f>
        <v>12381894</v>
      </c>
      <c r="K216" s="11">
        <f>+K199+K110+K214</f>
        <v>489154.11602564109</v>
      </c>
      <c r="L216" s="11">
        <f>+L199+L110+L214</f>
        <v>427901.76000000007</v>
      </c>
      <c r="M216" s="11">
        <f>+M199+M110+M214</f>
        <v>61999.866794871821</v>
      </c>
    </row>
    <row r="217" spans="1:13">
      <c r="A217" s="26">
        <f t="shared" si="37"/>
        <v>156</v>
      </c>
      <c r="B217" s="51"/>
      <c r="C217" s="51"/>
      <c r="D217" s="51"/>
      <c r="E217" s="51"/>
      <c r="F217" s="51"/>
      <c r="G217" s="51"/>
      <c r="H217" s="51"/>
      <c r="I217" s="84"/>
      <c r="K217" s="12"/>
      <c r="L217" s="12"/>
      <c r="M217" s="12"/>
    </row>
    <row r="218" spans="1:13">
      <c r="A218" s="26">
        <f t="shared" si="37"/>
        <v>157</v>
      </c>
      <c r="B218" s="53" t="s">
        <v>86</v>
      </c>
      <c r="C218" s="51"/>
      <c r="D218" s="51"/>
      <c r="E218" s="51"/>
      <c r="F218" s="51"/>
      <c r="G218" s="51"/>
      <c r="H218" s="51"/>
      <c r="I218" s="90">
        <f>I82-I216</f>
        <v>41716</v>
      </c>
      <c r="K218" s="11">
        <f>+K82-K216</f>
        <v>383810.96730769216</v>
      </c>
      <c r="L218" s="11">
        <f>+L82-L216</f>
        <v>507292.38999999996</v>
      </c>
      <c r="M218" s="11">
        <f>+L218-K218</f>
        <v>123481.42269230779</v>
      </c>
    </row>
    <row r="219" spans="1:13" ht="15.75" customHeight="1">
      <c r="A219" s="26">
        <f t="shared" si="37"/>
        <v>158</v>
      </c>
      <c r="B219" s="51"/>
      <c r="C219" s="51"/>
      <c r="D219" s="51"/>
      <c r="E219" s="51"/>
      <c r="F219" s="51"/>
      <c r="G219" s="51"/>
      <c r="H219" s="51"/>
      <c r="I219" s="91"/>
      <c r="K219" s="13"/>
      <c r="L219" s="13"/>
      <c r="M219" s="13"/>
    </row>
    <row r="220" spans="1:13" ht="16.5" customHeight="1">
      <c r="A220" s="26">
        <f t="shared" si="37"/>
        <v>159</v>
      </c>
      <c r="B220" s="51"/>
      <c r="C220" s="53" t="s">
        <v>87</v>
      </c>
      <c r="D220" s="51"/>
      <c r="E220" s="51"/>
      <c r="F220" s="51"/>
      <c r="G220" s="51"/>
      <c r="H220" s="51"/>
      <c r="I220" s="84"/>
      <c r="K220" s="13"/>
      <c r="L220" s="13"/>
      <c r="M220" s="13"/>
    </row>
    <row r="221" spans="1:13">
      <c r="A221" s="26">
        <f t="shared" si="37"/>
        <v>160</v>
      </c>
      <c r="B221" s="51"/>
      <c r="C221" s="51"/>
      <c r="D221" s="51"/>
      <c r="E221" s="51"/>
      <c r="F221" s="51"/>
      <c r="G221" s="51"/>
      <c r="H221" s="51"/>
      <c r="I221" s="92"/>
      <c r="K221" s="13"/>
      <c r="L221" s="13"/>
      <c r="M221" s="13"/>
    </row>
    <row r="222" spans="1:13">
      <c r="A222" s="26">
        <f t="shared" si="37"/>
        <v>161</v>
      </c>
      <c r="B222" s="53" t="s">
        <v>88</v>
      </c>
      <c r="C222" s="51"/>
      <c r="D222" s="51"/>
      <c r="E222" s="51"/>
      <c r="F222" s="51"/>
      <c r="G222" s="51"/>
      <c r="H222" s="51"/>
      <c r="I222" s="92"/>
      <c r="K222" s="117">
        <f>+K86-K220</f>
        <v>0</v>
      </c>
      <c r="L222" s="117">
        <f>+L86-L220</f>
        <v>0</v>
      </c>
      <c r="M222" s="117">
        <f>L222-K222</f>
        <v>0</v>
      </c>
    </row>
    <row r="223" spans="1:13">
      <c r="A223" s="26">
        <f t="shared" si="37"/>
        <v>162</v>
      </c>
      <c r="B223" s="51"/>
      <c r="C223" s="51"/>
      <c r="D223" s="51"/>
      <c r="E223" s="51"/>
      <c r="F223" s="51"/>
      <c r="G223" s="51"/>
      <c r="H223" s="51"/>
      <c r="I223" s="92"/>
    </row>
    <row r="224" spans="1:13" ht="16.5" thickBot="1">
      <c r="A224" s="26">
        <f t="shared" si="37"/>
        <v>163</v>
      </c>
      <c r="B224" s="2" t="s">
        <v>115</v>
      </c>
      <c r="H224" s="51"/>
      <c r="I224" s="14">
        <f>I218-I220</f>
        <v>41716</v>
      </c>
      <c r="K224" s="14">
        <f>K218-K220</f>
        <v>383810.96730769216</v>
      </c>
      <c r="L224" s="14">
        <f>L218-L220</f>
        <v>507292.38999999996</v>
      </c>
      <c r="M224" s="14">
        <f>+L224-K224</f>
        <v>123481.42269230779</v>
      </c>
    </row>
    <row r="225" spans="1:13" ht="16.5" thickTop="1">
      <c r="A225" s="26">
        <f t="shared" si="37"/>
        <v>164</v>
      </c>
      <c r="B225" s="1"/>
      <c r="H225" s="51"/>
      <c r="I225" s="56"/>
    </row>
    <row r="226" spans="1:13">
      <c r="A226" s="26">
        <f t="shared" si="37"/>
        <v>165</v>
      </c>
      <c r="B226" s="16"/>
      <c r="C226" s="16"/>
      <c r="D226" s="16"/>
      <c r="E226" s="16"/>
      <c r="F226" s="16"/>
      <c r="G226" s="16"/>
      <c r="H226" s="16"/>
      <c r="I226" s="16"/>
      <c r="K226" s="23"/>
      <c r="L226" s="23"/>
      <c r="M226" s="23"/>
    </row>
    <row r="227" spans="1:13">
      <c r="A227" s="26">
        <f t="shared" si="37"/>
        <v>166</v>
      </c>
      <c r="B227" s="2" t="s">
        <v>90</v>
      </c>
      <c r="C227" s="2"/>
      <c r="D227" s="2"/>
      <c r="E227" s="2"/>
      <c r="F227" s="2"/>
      <c r="G227" s="2"/>
      <c r="H227" s="51"/>
      <c r="I227" s="60"/>
    </row>
    <row r="228" spans="1:13">
      <c r="A228" s="26">
        <f t="shared" si="37"/>
        <v>167</v>
      </c>
      <c r="B228" s="2"/>
      <c r="C228" s="2"/>
      <c r="D228" s="2"/>
      <c r="E228" s="2"/>
      <c r="F228" s="2"/>
      <c r="G228" s="2" t="s">
        <v>91</v>
      </c>
      <c r="H228" s="51"/>
      <c r="I228" s="60"/>
    </row>
    <row r="229" spans="1:13">
      <c r="B229" s="2"/>
      <c r="C229" s="2"/>
      <c r="D229" s="2"/>
      <c r="E229" s="2"/>
      <c r="F229" s="2"/>
      <c r="G229" s="2" t="s">
        <v>93</v>
      </c>
      <c r="H229" s="51"/>
      <c r="I229" s="60"/>
    </row>
    <row r="230" spans="1:13">
      <c r="B230" s="2"/>
      <c r="C230" s="2"/>
      <c r="D230" s="2"/>
      <c r="E230" s="2"/>
      <c r="F230" s="2"/>
      <c r="G230" s="2" t="s">
        <v>94</v>
      </c>
      <c r="H230" s="51"/>
      <c r="I230" s="56"/>
    </row>
    <row r="231" spans="1:13">
      <c r="B231" s="2"/>
      <c r="C231" s="2"/>
      <c r="D231" s="2"/>
      <c r="E231" s="2"/>
      <c r="F231" s="2"/>
      <c r="G231" s="2"/>
      <c r="H231" s="2"/>
      <c r="I231" s="56"/>
    </row>
    <row r="232" spans="1:13">
      <c r="B232" s="2"/>
      <c r="C232" s="2"/>
      <c r="D232" s="2"/>
      <c r="E232" s="2"/>
      <c r="F232" s="2"/>
      <c r="G232" s="2" t="s">
        <v>92</v>
      </c>
      <c r="H232" s="2"/>
      <c r="I232" s="60"/>
    </row>
    <row r="233" spans="1:13">
      <c r="B233" s="2"/>
      <c r="C233" s="2"/>
      <c r="D233" s="2"/>
      <c r="E233" s="2"/>
      <c r="F233" s="2"/>
      <c r="G233" s="2"/>
      <c r="I233" s="59"/>
    </row>
    <row r="234" spans="1:13">
      <c r="C234" s="2"/>
      <c r="I234" s="59"/>
    </row>
    <row r="235" spans="1:13">
      <c r="I235" s="2"/>
    </row>
    <row r="236" spans="1:13">
      <c r="I236" s="2"/>
    </row>
  </sheetData>
  <mergeCells count="7">
    <mergeCell ref="P17:U17"/>
    <mergeCell ref="R20:S20"/>
    <mergeCell ref="P15:U15"/>
    <mergeCell ref="P16:U16"/>
    <mergeCell ref="B1:H1"/>
    <mergeCell ref="B2:H2"/>
    <mergeCell ref="B4:I4"/>
  </mergeCells>
  <printOptions horizontalCentered="1"/>
  <pageMargins left="0.7" right="0.7" top="0.5" bottom="0.75" header="0.3" footer="0.3"/>
  <pageSetup scale="76" firstPageNumber="2" orientation="portrait" useFirstPageNumber="1" r:id="rId1"/>
  <rowBreaks count="3" manualBreakCount="3">
    <brk id="58" min="1" max="12" man="1"/>
    <brk id="111" min="1" max="12" man="1"/>
    <brk id="16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P&amp;L</vt:lpstr>
      <vt:lpstr>'P&amp;L'!Print_Area</vt:lpstr>
      <vt:lpstr>'P&amp;L'!Print_Titles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rsmith</dc:creator>
  <cp:lastModifiedBy>skofsky</cp:lastModifiedBy>
  <cp:lastPrinted>2016-10-20T21:11:43Z</cp:lastPrinted>
  <dcterms:created xsi:type="dcterms:W3CDTF">2014-08-07T18:47:22Z</dcterms:created>
  <dcterms:modified xsi:type="dcterms:W3CDTF">2016-10-20T21:11:55Z</dcterms:modified>
</cp:coreProperties>
</file>